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D:\Info PC Contraloria\DAF\OFRB 2021 DAF\2022\PRESUPUESTO\EJECUCIÓN PRESUPUESTAL 2022\ejecuciones por mes\"/>
    </mc:Choice>
  </mc:AlternateContent>
  <xr:revisionPtr revIDLastSave="0" documentId="8_{52AFA5E4-178D-4091-9CBF-3DFC05F987FD}" xr6:coauthVersionLast="43" xr6:coauthVersionMax="43" xr10:uidLastSave="{00000000-0000-0000-0000-000000000000}"/>
  <bookViews>
    <workbookView xWindow="-120" yWindow="-120" windowWidth="29040" windowHeight="15840" xr2:uid="{3BF1074A-3190-4D90-9D6B-B01CBAFCFD89}"/>
  </bookViews>
  <sheets>
    <sheet name="AGOSTO 22"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83" i="1" l="1"/>
  <c r="F83" i="1"/>
  <c r="E83" i="1"/>
  <c r="D83" i="1"/>
  <c r="R80" i="1"/>
  <c r="O80" i="1"/>
  <c r="N80" i="1"/>
  <c r="M80" i="1"/>
  <c r="I80" i="1"/>
  <c r="P80" i="1" s="1"/>
  <c r="Q80" i="1" s="1"/>
  <c r="O79" i="1"/>
  <c r="R79" i="1" s="1"/>
  <c r="N79" i="1"/>
  <c r="I79" i="1"/>
  <c r="P79" i="1" s="1"/>
  <c r="Q79" i="1" s="1"/>
  <c r="O75" i="1"/>
  <c r="R75" i="1" s="1"/>
  <c r="L75" i="1"/>
  <c r="N75" i="1" s="1"/>
  <c r="I75" i="1"/>
  <c r="P75" i="1" s="1"/>
  <c r="F75" i="1"/>
  <c r="O74" i="1"/>
  <c r="R74" i="1" s="1"/>
  <c r="N74" i="1"/>
  <c r="I74" i="1"/>
  <c r="P74" i="1" s="1"/>
  <c r="Q74" i="1" s="1"/>
  <c r="L72" i="1"/>
  <c r="L71" i="1"/>
  <c r="L70" i="1"/>
  <c r="L68" i="1"/>
  <c r="L60" i="1" s="1"/>
  <c r="L64" i="1"/>
  <c r="L63" i="1"/>
  <c r="H60" i="1"/>
  <c r="H83" i="1" s="1"/>
  <c r="G60" i="1"/>
  <c r="I60" i="1" s="1"/>
  <c r="O59" i="1"/>
  <c r="R59" i="1" s="1"/>
  <c r="N59" i="1"/>
  <c r="M59" i="1" s="1"/>
  <c r="I59" i="1"/>
  <c r="P59" i="1" s="1"/>
  <c r="Q59" i="1" s="1"/>
  <c r="L58" i="1"/>
  <c r="L56" i="1"/>
  <c r="L55" i="1"/>
  <c r="O55" i="1" s="1"/>
  <c r="R55" i="1" s="1"/>
  <c r="I55" i="1"/>
  <c r="L52" i="1"/>
  <c r="N50" i="1"/>
  <c r="P50" i="1" s="1"/>
  <c r="Q50" i="1" s="1"/>
  <c r="M50" i="1"/>
  <c r="L50" i="1"/>
  <c r="O50" i="1" s="1"/>
  <c r="R50" i="1" s="1"/>
  <c r="I50" i="1"/>
  <c r="L49" i="1"/>
  <c r="L45" i="1"/>
  <c r="L42" i="1" s="1"/>
  <c r="I42" i="1"/>
  <c r="G42" i="1"/>
  <c r="L40" i="1"/>
  <c r="L39" i="1"/>
  <c r="L38" i="1"/>
  <c r="L37" i="1"/>
  <c r="L36" i="1"/>
  <c r="L35" i="1"/>
  <c r="L34" i="1"/>
  <c r="L32" i="1"/>
  <c r="L28" i="1"/>
  <c r="O28" i="1" s="1"/>
  <c r="R28" i="1" s="1"/>
  <c r="I28" i="1"/>
  <c r="G28" i="1"/>
  <c r="R27" i="1"/>
  <c r="O27" i="1"/>
  <c r="N27" i="1"/>
  <c r="M27" i="1"/>
  <c r="I27" i="1"/>
  <c r="P27" i="1" s="1"/>
  <c r="Q27" i="1" s="1"/>
  <c r="P26" i="1"/>
  <c r="Q26" i="1" s="1"/>
  <c r="O26" i="1"/>
  <c r="R26" i="1" s="1"/>
  <c r="N26" i="1"/>
  <c r="I26" i="1"/>
  <c r="R25" i="1"/>
  <c r="O25" i="1"/>
  <c r="N25" i="1"/>
  <c r="M25" i="1" s="1"/>
  <c r="I25" i="1"/>
  <c r="P25" i="1" s="1"/>
  <c r="Q25" i="1" s="1"/>
  <c r="R24" i="1"/>
  <c r="O24" i="1"/>
  <c r="N24" i="1"/>
  <c r="M24" i="1"/>
  <c r="I24" i="1"/>
  <c r="P24" i="1" s="1"/>
  <c r="Q24" i="1" s="1"/>
  <c r="O23" i="1"/>
  <c r="R23" i="1" s="1"/>
  <c r="N23" i="1"/>
  <c r="I23" i="1"/>
  <c r="M23" i="1" s="1"/>
  <c r="O22" i="1"/>
  <c r="R22" i="1" s="1"/>
  <c r="N22" i="1"/>
  <c r="M22" i="1" s="1"/>
  <c r="I22" i="1"/>
  <c r="P22" i="1" s="1"/>
  <c r="Q22" i="1" s="1"/>
  <c r="R21" i="1"/>
  <c r="O21" i="1"/>
  <c r="N21" i="1"/>
  <c r="M21" i="1" s="1"/>
  <c r="I21" i="1"/>
  <c r="P21" i="1" s="1"/>
  <c r="Q21" i="1" s="1"/>
  <c r="R20" i="1"/>
  <c r="O20" i="1"/>
  <c r="N20" i="1"/>
  <c r="M20" i="1"/>
  <c r="I20" i="1"/>
  <c r="P20" i="1" s="1"/>
  <c r="Q20" i="1" s="1"/>
  <c r="O19" i="1"/>
  <c r="R19" i="1" s="1"/>
  <c r="N19" i="1"/>
  <c r="I19" i="1"/>
  <c r="M19" i="1" s="1"/>
  <c r="P18" i="1"/>
  <c r="Q18" i="1" s="1"/>
  <c r="O18" i="1"/>
  <c r="R18" i="1" s="1"/>
  <c r="N18" i="1"/>
  <c r="I18" i="1"/>
  <c r="R17" i="1"/>
  <c r="O17" i="1"/>
  <c r="N17" i="1"/>
  <c r="M17" i="1"/>
  <c r="I17" i="1"/>
  <c r="P17" i="1" s="1"/>
  <c r="Q17" i="1" s="1"/>
  <c r="O16" i="1"/>
  <c r="R16" i="1" s="1"/>
  <c r="N16" i="1"/>
  <c r="I16" i="1"/>
  <c r="M16" i="1" s="1"/>
  <c r="O15" i="1"/>
  <c r="R15" i="1" s="1"/>
  <c r="N15" i="1"/>
  <c r="M15" i="1" s="1"/>
  <c r="I15" i="1"/>
  <c r="P15" i="1" s="1"/>
  <c r="Q15" i="1" s="1"/>
  <c r="R14" i="1"/>
  <c r="O14" i="1"/>
  <c r="N14" i="1"/>
  <c r="M14" i="1" s="1"/>
  <c r="I14" i="1"/>
  <c r="P14" i="1" s="1"/>
  <c r="Q14" i="1" s="1"/>
  <c r="R13" i="1"/>
  <c r="O13" i="1"/>
  <c r="N13" i="1"/>
  <c r="I13" i="1"/>
  <c r="P13" i="1" s="1"/>
  <c r="Q13" i="1" s="1"/>
  <c r="O12" i="1"/>
  <c r="R12" i="1" s="1"/>
  <c r="N12" i="1"/>
  <c r="M12" i="1" s="1"/>
  <c r="I12" i="1"/>
  <c r="P12" i="1" s="1"/>
  <c r="Q12" i="1" s="1"/>
  <c r="R11" i="1"/>
  <c r="O11" i="1"/>
  <c r="N11" i="1"/>
  <c r="M11" i="1" s="1"/>
  <c r="I11" i="1"/>
  <c r="P11" i="1" s="1"/>
  <c r="Q11" i="1" s="1"/>
  <c r="R10" i="1"/>
  <c r="O10" i="1"/>
  <c r="N10" i="1"/>
  <c r="M10" i="1"/>
  <c r="I10" i="1"/>
  <c r="P10" i="1" s="1"/>
  <c r="Q10" i="1" s="1"/>
  <c r="O9" i="1"/>
  <c r="R9" i="1" s="1"/>
  <c r="N9" i="1"/>
  <c r="I9" i="1"/>
  <c r="P9" i="1" s="1"/>
  <c r="Q9" i="1" s="1"/>
  <c r="P8" i="1"/>
  <c r="Q8" i="1" s="1"/>
  <c r="O8" i="1"/>
  <c r="R8" i="1" s="1"/>
  <c r="N8" i="1"/>
  <c r="I8" i="1"/>
  <c r="R7" i="1"/>
  <c r="O7" i="1"/>
  <c r="N7" i="1"/>
  <c r="M7" i="1"/>
  <c r="I7" i="1"/>
  <c r="I83" i="1" s="1"/>
  <c r="O60" i="1" l="1"/>
  <c r="R60" i="1" s="1"/>
  <c r="N60" i="1"/>
  <c r="M60" i="1" s="1"/>
  <c r="Q75" i="1"/>
  <c r="P42" i="1"/>
  <c r="Q42" i="1" s="1"/>
  <c r="M75" i="1"/>
  <c r="N42" i="1"/>
  <c r="M42" i="1" s="1"/>
  <c r="O42" i="1"/>
  <c r="R42" i="1" s="1"/>
  <c r="R83" i="1"/>
  <c r="P16" i="1"/>
  <c r="Q16" i="1" s="1"/>
  <c r="P19" i="1"/>
  <c r="Q19" i="1" s="1"/>
  <c r="M9" i="1"/>
  <c r="M74" i="1"/>
  <c r="M79" i="1"/>
  <c r="G83" i="1"/>
  <c r="L83" i="1"/>
  <c r="N28" i="1"/>
  <c r="N55" i="1"/>
  <c r="N83" i="1" s="1"/>
  <c r="M83" i="1" s="1"/>
  <c r="P23" i="1"/>
  <c r="Q23" i="1" s="1"/>
  <c r="O83" i="1"/>
  <c r="P7" i="1"/>
  <c r="M55" i="1" l="1"/>
  <c r="P55" i="1"/>
  <c r="Q55" i="1" s="1"/>
  <c r="P6" i="1"/>
  <c r="Q7" i="1"/>
  <c r="M28" i="1"/>
  <c r="P28" i="1"/>
  <c r="Q28" i="1" s="1"/>
  <c r="P60" i="1"/>
  <c r="Q60" i="1" l="1"/>
  <c r="P83" i="1"/>
  <c r="Q8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15" authorId="0" shapeId="0" xr:uid="{515A8C83-1F36-4972-B222-1FAC776B1524}">
      <text>
        <r>
          <rPr>
            <b/>
            <sz val="9"/>
            <color indexed="81"/>
            <rFont val="Tahoma"/>
            <family val="2"/>
          </rPr>
          <t>Son los pagos por concepto de contribución social que hacen los empleadores a los fondos de seguridad social en pensiones. Este pago se realiza en virtud de la Ley 100 de 1993, por medio de la cual se creó el Sistema de Seguridad Social de Pensiones, y se estableció la obligatoriedad de la afiliación de todos los empleados al sistema.
Este aporte tiene como finalidad garantizar a la población el amparo contra las contingencias derivadas de la vejez, la invalidez y la muerte, mediante el reconocimiento de las pensiones y prestaciones correspondientes (Ley 100 de 1993, art. 10).</t>
        </r>
      </text>
    </comment>
    <comment ref="B17" authorId="0" shapeId="0" xr:uid="{5EBD8E31-0CA8-4387-A33A-A9EC481055F1}">
      <text>
        <r>
          <rPr>
            <b/>
            <sz val="9"/>
            <color indexed="81"/>
            <rFont val="Tahoma"/>
            <family val="2"/>
          </rPr>
          <t>Es la contribución por cesantías, que el empleador está obligado a pagar en razón de un mes de sueldo o jornal por cada año de servicio de su empleado, proporcionalmente fraccionado. Este aporte tiene como fin cubrir o prever las necesidades que se originan al trabajador al momento de quedar cesante. (Departamento Administrativo de la Función Pública, 2012).
Los aportes a los fondos administradores de cesantías entraron en vigor para entidades territoriales con la Ley 344 de 1996. Así mismo, la Ley 432 de 1998 permitió que el personal del nivel territorial se afiliara al Fondo Nacional del Ahorro.</t>
        </r>
        <r>
          <rPr>
            <sz val="9"/>
            <color indexed="81"/>
            <rFont val="Tahoma"/>
            <family val="2"/>
          </rPr>
          <t xml:space="preserve">
</t>
        </r>
      </text>
    </comment>
  </commentList>
</comments>
</file>

<file path=xl/sharedStrings.xml><?xml version="1.0" encoding="utf-8"?>
<sst xmlns="http://schemas.openxmlformats.org/spreadsheetml/2006/main" count="222" uniqueCount="135">
  <si>
    <t>EJECUCIÓN PRESUPUESTAL DE EGRESOS</t>
  </si>
  <si>
    <t>AGOSTO DE 2022</t>
  </si>
  <si>
    <t>CODIGO
CCPET</t>
  </si>
  <si>
    <t>OBJETO DEL GASTO</t>
  </si>
  <si>
    <t>REC</t>
  </si>
  <si>
    <t>APROPIACION INICIAL</t>
  </si>
  <si>
    <t>REDUCCION</t>
  </si>
  <si>
    <t>ADICIÓN</t>
  </si>
  <si>
    <t>CREDITOS</t>
  </si>
  <si>
    <t>CONTRA CREDITOS</t>
  </si>
  <si>
    <t>TOTAL APROBACIÓN</t>
  </si>
  <si>
    <t>CODIGO CPC</t>
  </si>
  <si>
    <t>EJECUCIÓN MESES ANTERIORES</t>
  </si>
  <si>
    <t>EJECUCION MES</t>
  </si>
  <si>
    <t>%</t>
  </si>
  <si>
    <t>TOTAL COMPROMISOS</t>
  </si>
  <si>
    <t>OBLIGACIONES</t>
  </si>
  <si>
    <t>SALDO DISPONIBLE</t>
  </si>
  <si>
    <t>PAGOS REALIZADOS</t>
  </si>
  <si>
    <t>CUENTAS POR PAGAR V 2021</t>
  </si>
  <si>
    <t>RESERVAS PRES V 2021</t>
  </si>
  <si>
    <t>2.1</t>
  </si>
  <si>
    <t>Funcionamiento</t>
  </si>
  <si>
    <t>2.1.1.01.01.001.01</t>
  </si>
  <si>
    <t>Sueldo básico</t>
  </si>
  <si>
    <t>1</t>
  </si>
  <si>
    <t>No aplica</t>
  </si>
  <si>
    <t>2.1.1.01.01.001.01-01</t>
  </si>
  <si>
    <t>45-Sueldo básico</t>
  </si>
  <si>
    <t>45</t>
  </si>
  <si>
    <t>2.1.1.01.01.001.05</t>
  </si>
  <si>
    <t xml:space="preserve">Auxilio de Transporte </t>
  </si>
  <si>
    <t>2.1.1.01.01.001.07</t>
  </si>
  <si>
    <t xml:space="preserve">Bonificación por Servicios Prestados </t>
  </si>
  <si>
    <t>2.1.1.01.01.001.08.01</t>
  </si>
  <si>
    <t xml:space="preserve">Prima de Navidad </t>
  </si>
  <si>
    <t>2.1.1.01.01.001.08.02</t>
  </si>
  <si>
    <t>Prima de Vacaciones</t>
  </si>
  <si>
    <t>2.1.1.01.01.001.08.02-01</t>
  </si>
  <si>
    <t>45-Prima de vacaciones</t>
  </si>
  <si>
    <t>2.1.1.01.01.002.04</t>
  </si>
  <si>
    <t>Prima semestral</t>
  </si>
  <si>
    <t>2.1.1.01.02.001</t>
  </si>
  <si>
    <t>Aportes a la seguridad social en pensiones</t>
  </si>
  <si>
    <t>2.1.1.01.02.002</t>
  </si>
  <si>
    <t>Aportes a la seguridad social en salud</t>
  </si>
  <si>
    <t>2.1.1.01.02.003</t>
  </si>
  <si>
    <t>Aportes de cesantías</t>
  </si>
  <si>
    <t>2.1.1.01.02.003.01</t>
  </si>
  <si>
    <t>45-Aportes de cesantias</t>
  </si>
  <si>
    <t>2.1.1.01.02.004</t>
  </si>
  <si>
    <t>Aportes a cajas de compensación familiar</t>
  </si>
  <si>
    <t>2.1.1.01.02.005</t>
  </si>
  <si>
    <t>Aportes generales al sistema de riesgos laborale,</t>
  </si>
  <si>
    <t>2.1.1.01.02.006</t>
  </si>
  <si>
    <t>Aportes al ICBF</t>
  </si>
  <si>
    <t>2.1.1.01.02.007</t>
  </si>
  <si>
    <t>Aportes al SENA</t>
  </si>
  <si>
    <t>2.1.1.01.02.008</t>
  </si>
  <si>
    <t>Aportes a la ESAP</t>
  </si>
  <si>
    <t>2.1.1.01.02.009</t>
  </si>
  <si>
    <t>Aportes a escuelas industriales e institutos técnicos</t>
  </si>
  <si>
    <t>2.1.1.01.03.001.02</t>
  </si>
  <si>
    <t>Indemnización por vacaciones</t>
  </si>
  <si>
    <t>45-Indemnización de vacaciones</t>
  </si>
  <si>
    <t>2.1.1.02.01.001.04</t>
  </si>
  <si>
    <t xml:space="preserve">Subsidio de Alimentación </t>
  </si>
  <si>
    <t>2.1.2.02.01.002</t>
  </si>
  <si>
    <t>Productos alimenticios, bebidas y tabaco; textiles, prendas de vestir y productos de cuero</t>
  </si>
  <si>
    <t>Resoluciuón 109 del 29 de julio 2022</t>
  </si>
  <si>
    <t>café tostado, incluso molido, descafeinado (café)</t>
  </si>
  <si>
    <t>Panela</t>
  </si>
  <si>
    <t>Jabones en pasta para lavar</t>
  </si>
  <si>
    <t>Azucar refinada</t>
  </si>
  <si>
    <t>Tubos de caucho</t>
  </si>
  <si>
    <t>Servilletas de papel</t>
  </si>
  <si>
    <t>Mechas de traperos</t>
  </si>
  <si>
    <t>Papel sanitario fraccionado</t>
  </si>
  <si>
    <t>Productos blanqueadores y desmanchadores</t>
  </si>
  <si>
    <t>Detergentes y preparados para lavar</t>
  </si>
  <si>
    <t>Bolsas de plastico sin impresión</t>
  </si>
  <si>
    <t>Aromaticas</t>
  </si>
  <si>
    <t>2.1.2.02.01.003</t>
  </si>
  <si>
    <t>Otros bienes transportables (excepto productos metálicos, maquinaria y equipo)</t>
  </si>
  <si>
    <t>Gancho legajador plastico</t>
  </si>
  <si>
    <t>esferos, resaltadores y lapices</t>
  </si>
  <si>
    <t>Ganchos click</t>
  </si>
  <si>
    <t>Resma de papel carta</t>
  </si>
  <si>
    <t xml:space="preserve">Abonos y fertilizantes </t>
  </si>
  <si>
    <t>Gasolina para automotores (Contrato combustible N° 007-2022) Fct FEES 11493</t>
  </si>
  <si>
    <t>2.1.2.02.01.004</t>
  </si>
  <si>
    <t>Productos metálicos y paquetes de software</t>
  </si>
  <si>
    <t>Dispositivo de almaenamiento permanente</t>
  </si>
  <si>
    <t>Esponjas y esponjillas metalicas</t>
  </si>
  <si>
    <t>Discos compactos grabables (CD)</t>
  </si>
  <si>
    <t>Pilas alcalinas</t>
  </si>
  <si>
    <t>2.1.2.02.02.006</t>
  </si>
  <si>
    <t>Servicios de alojamiento servicios de suministro de comidas y bebidas servicios de transporte y servicios de distribución de electricidad gas y agua</t>
  </si>
  <si>
    <t>2.1.2.02.02.006.16</t>
  </si>
  <si>
    <t>Servicio de transporte por carretera de correspondencia y paquetes</t>
  </si>
  <si>
    <t>2.1.2.02.02.006.00</t>
  </si>
  <si>
    <t>Servicios de energia electrica</t>
  </si>
  <si>
    <t>2.1.2.02.02.006.10</t>
  </si>
  <si>
    <t>Servicio de alcantarillado y tratamiento de aguas residuales</t>
  </si>
  <si>
    <t>2.1.2.02.02.007</t>
  </si>
  <si>
    <t>Servicios financieros y servicios conexos, servicios inmobiliarios y servicios de leasing</t>
  </si>
  <si>
    <t>2.1.2.02.02.008</t>
  </si>
  <si>
    <t xml:space="preserve">Servicios prestados a las empresas y servicios de producción </t>
  </si>
  <si>
    <t>Grabado, diseños e impresos</t>
  </si>
  <si>
    <t>Servicios de asesoramiento y representación Juridica</t>
  </si>
  <si>
    <t>Servicios de contabilidad</t>
  </si>
  <si>
    <t>Mantenimiento en sevicio de descarga de software</t>
  </si>
  <si>
    <t>Mantenimiento locativos pintua y resane</t>
  </si>
  <si>
    <t>Servicio de mantenimiento y reparación de depósitos, cisternas, tanques y recipientes de metal</t>
  </si>
  <si>
    <t>Servicio de adecuación  de muebles</t>
  </si>
  <si>
    <t>Otros servicios de seguridad (instalación de chapas on accesorios )</t>
  </si>
  <si>
    <t>Servicio de mantenimiento de vehiculos automoviles CDG</t>
  </si>
  <si>
    <t>Servicio de mantenimiento y reparación de equipos electricos luminosos</t>
  </si>
  <si>
    <t>Servicio de operadores (Internet)</t>
  </si>
  <si>
    <t>Servicio de telecomunicaciones (movistar)</t>
  </si>
  <si>
    <t>2.1.2.02.02.009</t>
  </si>
  <si>
    <t>Servicios prestados a las empresas y servicios de producción</t>
  </si>
  <si>
    <t>2.1.2.02.02.010</t>
  </si>
  <si>
    <t>Viáticos de los funcionarios en comisión</t>
  </si>
  <si>
    <t>2.1.2.02.02.010.01</t>
  </si>
  <si>
    <t>45-Viáticos de los funcionarios en comisión</t>
  </si>
  <si>
    <t xml:space="preserve">Servicio de transporte Viáticos de los funcionarios en comisión transporte </t>
  </si>
  <si>
    <t>2.1.3.07.02.031</t>
  </si>
  <si>
    <t>Programa de salud ocupacional</t>
  </si>
  <si>
    <t>2.1.3.13.01.001</t>
  </si>
  <si>
    <t>45-Sentencias</t>
  </si>
  <si>
    <t>CARLOS ALEJANDRO MONTOYA SANCHEZ</t>
  </si>
  <si>
    <t>SANDRA YULIETH MENDOZA MARIN</t>
  </si>
  <si>
    <t>Contralor Departamental del Guaviare</t>
  </si>
  <si>
    <t>Directora Administrativa y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</si>
</sst>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00"/>
  </numFmts>
  <fonts count="17" x14ac:knownFonts="1">
    <font>
      <sz val="11"/>
      <color theme="1"/>
      <name val="Calibri"/>
      <family val="2"/>
      <scheme val="minor"/>
    </font>
    <font>
      <sz val="11"/>
      <color theme="1"/>
      <name val="Calibri"/>
      <family val="2"/>
      <scheme val="minor"/>
    </font>
    <font>
      <b/>
      <sz val="11"/>
      <color theme="1"/>
      <name val="Arial Narrow"/>
      <family val="2"/>
    </font>
    <font>
      <sz val="11"/>
      <color theme="1"/>
      <name val="Arial Narrow"/>
      <family val="2"/>
    </font>
    <font>
      <b/>
      <sz val="10"/>
      <color indexed="8"/>
      <name val="Arial Narrow"/>
      <family val="2"/>
    </font>
    <font>
      <b/>
      <sz val="10"/>
      <name val="Arial Narrow"/>
      <family val="2"/>
    </font>
    <font>
      <sz val="10"/>
      <color theme="1"/>
      <name val="Arial Narrow"/>
      <family val="2"/>
    </font>
    <font>
      <b/>
      <sz val="11"/>
      <color theme="0"/>
      <name val="Arial Narrow"/>
      <family val="2"/>
    </font>
    <font>
      <sz val="12"/>
      <color theme="1"/>
      <name val="Calibri"/>
      <family val="2"/>
      <scheme val="minor"/>
    </font>
    <font>
      <b/>
      <sz val="9"/>
      <color theme="0"/>
      <name val="Arial Narrow"/>
      <family val="2"/>
    </font>
    <font>
      <b/>
      <sz val="9"/>
      <name val="Arial Narrow"/>
      <family val="2"/>
    </font>
    <font>
      <sz val="11"/>
      <name val="Arial Narrow"/>
      <family val="2"/>
    </font>
    <font>
      <b/>
      <sz val="11"/>
      <name val="Arial Narrow"/>
      <family val="2"/>
    </font>
    <font>
      <sz val="10"/>
      <name val="Arial"/>
      <family val="2"/>
      <charset val="1"/>
    </font>
    <font>
      <sz val="10"/>
      <name val="Arial Narrow"/>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indexed="22"/>
        <bgColor indexed="64"/>
      </patternFill>
    </fill>
    <fill>
      <patternFill patternType="solid">
        <fgColor theme="3" tint="-0.249977111117893"/>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xf numFmtId="0" fontId="13" fillId="0" borderId="0"/>
    <xf numFmtId="41" fontId="1" fillId="0" borderId="0" applyFont="0" applyFill="0" applyBorder="0" applyAlignment="0" applyProtection="0"/>
    <xf numFmtId="1" fontId="14" fillId="4" borderId="0" applyFill="0">
      <alignment horizontal="center" vertical="center"/>
    </xf>
    <xf numFmtId="0" fontId="1" fillId="0" borderId="0"/>
  </cellStyleXfs>
  <cellXfs count="252">
    <xf numFmtId="0" fontId="0" fillId="0" borderId="0" xfId="0"/>
    <xf numFmtId="0" fontId="2" fillId="0" borderId="0" xfId="0" applyFont="1" applyAlignment="1">
      <alignment horizontal="center"/>
    </xf>
    <xf numFmtId="0" fontId="3" fillId="0" borderId="0" xfId="0" applyFont="1"/>
    <xf numFmtId="0" fontId="4"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0" fontId="6" fillId="0" borderId="0" xfId="0" applyFont="1"/>
    <xf numFmtId="0" fontId="7" fillId="3" borderId="1" xfId="0" applyFont="1" applyFill="1" applyBorder="1"/>
    <xf numFmtId="165" fontId="7" fillId="3" borderId="1" xfId="3" applyNumberFormat="1" applyFont="1" applyFill="1" applyBorder="1" applyAlignment="1">
      <alignment horizontal="left" vertical="center"/>
    </xf>
    <xf numFmtId="49" fontId="7" fillId="3" borderId="1" xfId="0" applyNumberFormat="1" applyFont="1" applyFill="1" applyBorder="1" applyAlignment="1">
      <alignment horizontal="center" vertical="center" wrapText="1"/>
    </xf>
    <xf numFmtId="164" fontId="7" fillId="3" borderId="1" xfId="0" applyNumberFormat="1" applyFont="1" applyFill="1" applyBorder="1" applyAlignment="1">
      <alignment horizontal="right"/>
    </xf>
    <xf numFmtId="164" fontId="9" fillId="3" borderId="1" xfId="0" applyNumberFormat="1" applyFont="1" applyFill="1" applyBorder="1" applyAlignment="1">
      <alignment horizontal="right"/>
    </xf>
    <xf numFmtId="164" fontId="10" fillId="3" borderId="1" xfId="0" applyNumberFormat="1" applyFont="1" applyFill="1" applyBorder="1" applyAlignment="1">
      <alignment horizontal="right"/>
    </xf>
    <xf numFmtId="164" fontId="9" fillId="3" borderId="2" xfId="0" applyNumberFormat="1" applyFont="1" applyFill="1" applyBorder="1" applyAlignment="1">
      <alignment horizontal="right"/>
    </xf>
    <xf numFmtId="0" fontId="11" fillId="0" borderId="3" xfId="0" applyFont="1" applyBorder="1" applyAlignment="1">
      <alignment vertical="center"/>
    </xf>
    <xf numFmtId="49" fontId="11" fillId="0" borderId="4" xfId="0" applyNumberFormat="1" applyFont="1" applyBorder="1" applyAlignment="1">
      <alignment vertical="center" wrapText="1"/>
    </xf>
    <xf numFmtId="49" fontId="12" fillId="0" borderId="4" xfId="1" applyNumberFormat="1" applyFont="1" applyBorder="1" applyAlignment="1">
      <alignment horizontal="center" vertical="center"/>
    </xf>
    <xf numFmtId="43" fontId="11" fillId="0" borderId="4" xfId="0" applyNumberFormat="1" applyFont="1" applyBorder="1" applyAlignment="1">
      <alignment horizontal="center" vertical="center"/>
    </xf>
    <xf numFmtId="0" fontId="11" fillId="0" borderId="4" xfId="0" applyFont="1" applyBorder="1"/>
    <xf numFmtId="164" fontId="11" fillId="0" borderId="4" xfId="1" applyNumberFormat="1" applyFont="1" applyBorder="1"/>
    <xf numFmtId="43" fontId="11" fillId="0" borderId="5" xfId="0" applyNumberFormat="1" applyFont="1" applyBorder="1"/>
    <xf numFmtId="43" fontId="11" fillId="0" borderId="4" xfId="1" applyFont="1" applyBorder="1"/>
    <xf numFmtId="9" fontId="11" fillId="0" borderId="4" xfId="2" applyFont="1" applyBorder="1"/>
    <xf numFmtId="10" fontId="11" fillId="0" borderId="6" xfId="0" applyNumberFormat="1" applyFont="1" applyBorder="1"/>
    <xf numFmtId="43" fontId="11" fillId="0" borderId="7" xfId="0" applyNumberFormat="1" applyFont="1" applyBorder="1"/>
    <xf numFmtId="0" fontId="3" fillId="0" borderId="8" xfId="0" applyFont="1" applyBorder="1"/>
    <xf numFmtId="0" fontId="3" fillId="0" borderId="2" xfId="0" applyFont="1" applyBorder="1"/>
    <xf numFmtId="43" fontId="3" fillId="0" borderId="0" xfId="1" applyFont="1"/>
    <xf numFmtId="0" fontId="11" fillId="0" borderId="9" xfId="0" applyFont="1" applyBorder="1" applyAlignment="1">
      <alignment vertical="center"/>
    </xf>
    <xf numFmtId="49" fontId="11" fillId="0" borderId="10" xfId="0" applyNumberFormat="1" applyFont="1" applyBorder="1" applyAlignment="1">
      <alignment vertical="center" wrapText="1"/>
    </xf>
    <xf numFmtId="49" fontId="12" fillId="0" borderId="10" xfId="1" applyNumberFormat="1" applyFont="1" applyBorder="1" applyAlignment="1">
      <alignment horizontal="center" vertical="center"/>
    </xf>
    <xf numFmtId="43" fontId="11" fillId="0" borderId="10" xfId="0" applyNumberFormat="1" applyFont="1" applyBorder="1" applyAlignment="1">
      <alignment horizontal="center" vertical="center"/>
    </xf>
    <xf numFmtId="0" fontId="11" fillId="0" borderId="10" xfId="0" applyFont="1" applyBorder="1"/>
    <xf numFmtId="164" fontId="11" fillId="0" borderId="10" xfId="1" applyNumberFormat="1" applyFont="1" applyBorder="1"/>
    <xf numFmtId="43" fontId="11" fillId="0" borderId="2" xfId="0" applyNumberFormat="1" applyFont="1" applyBorder="1"/>
    <xf numFmtId="0" fontId="11" fillId="0" borderId="2" xfId="0" applyFont="1" applyBorder="1"/>
    <xf numFmtId="43" fontId="11" fillId="0" borderId="2" xfId="1" applyFont="1" applyBorder="1"/>
    <xf numFmtId="43" fontId="11" fillId="0" borderId="10" xfId="1" applyFont="1" applyBorder="1"/>
    <xf numFmtId="9" fontId="11" fillId="0" borderId="10" xfId="2" applyFont="1" applyBorder="1"/>
    <xf numFmtId="10" fontId="11" fillId="0" borderId="11" xfId="0" applyNumberFormat="1" applyFont="1" applyBorder="1"/>
    <xf numFmtId="43" fontId="11" fillId="0" borderId="12" xfId="0" applyNumberFormat="1" applyFont="1" applyBorder="1"/>
    <xf numFmtId="49" fontId="11" fillId="0" borderId="2" xfId="0" applyNumberFormat="1" applyFont="1" applyBorder="1" applyAlignment="1">
      <alignment vertical="center" wrapText="1"/>
    </xf>
    <xf numFmtId="49" fontId="12" fillId="0" borderId="2" xfId="1" applyNumberFormat="1" applyFont="1" applyBorder="1" applyAlignment="1">
      <alignment horizontal="center" vertical="center"/>
    </xf>
    <xf numFmtId="43" fontId="11" fillId="0" borderId="2" xfId="0" applyNumberFormat="1" applyFont="1" applyBorder="1" applyAlignment="1">
      <alignment horizontal="center" vertical="center"/>
    </xf>
    <xf numFmtId="164" fontId="11" fillId="0" borderId="2" xfId="1" applyNumberFormat="1" applyFont="1" applyBorder="1"/>
    <xf numFmtId="9" fontId="11" fillId="0" borderId="2" xfId="2" applyFont="1" applyBorder="1"/>
    <xf numFmtId="43" fontId="11" fillId="0" borderId="10" xfId="0" applyNumberFormat="1" applyFont="1" applyBorder="1"/>
    <xf numFmtId="43" fontId="11" fillId="0" borderId="13" xfId="0" applyNumberFormat="1" applyFont="1" applyBorder="1"/>
    <xf numFmtId="0" fontId="11" fillId="0" borderId="2" xfId="0" applyFont="1" applyBorder="1" applyAlignment="1">
      <alignment horizontal="left" vertical="center" wrapText="1"/>
    </xf>
    <xf numFmtId="49" fontId="11" fillId="0" borderId="2" xfId="0" applyNumberFormat="1" applyFont="1" applyBorder="1" applyAlignment="1">
      <alignment horizontal="left" vertical="center" wrapText="1"/>
    </xf>
    <xf numFmtId="0" fontId="12" fillId="0" borderId="2" xfId="0" applyFont="1" applyBorder="1" applyAlignment="1">
      <alignment horizontal="center" vertical="center"/>
    </xf>
    <xf numFmtId="49" fontId="12" fillId="0" borderId="2" xfId="0" applyNumberFormat="1" applyFont="1" applyBorder="1" applyAlignment="1">
      <alignment horizontal="center" vertical="center"/>
    </xf>
    <xf numFmtId="0" fontId="11" fillId="0" borderId="9" xfId="0" applyFont="1" applyBorder="1"/>
    <xf numFmtId="0" fontId="12" fillId="0" borderId="2" xfId="4" applyFont="1" applyBorder="1" applyAlignment="1">
      <alignment horizontal="center" vertical="center"/>
    </xf>
    <xf numFmtId="43" fontId="11" fillId="0" borderId="2" xfId="5" applyNumberFormat="1" applyFont="1" applyBorder="1" applyAlignment="1">
      <alignment horizontal="center" vertical="center"/>
    </xf>
    <xf numFmtId="0" fontId="11" fillId="0" borderId="14" xfId="0" applyFont="1" applyBorder="1" applyAlignment="1">
      <alignment vertical="center"/>
    </xf>
    <xf numFmtId="0" fontId="11" fillId="0" borderId="1" xfId="0" applyFont="1" applyBorder="1" applyAlignment="1">
      <alignment horizontal="left" vertical="center" wrapText="1"/>
    </xf>
    <xf numFmtId="49" fontId="12" fillId="0" borderId="1" xfId="1" applyNumberFormat="1" applyFont="1" applyBorder="1" applyAlignment="1">
      <alignment horizontal="center" vertical="center"/>
    </xf>
    <xf numFmtId="43" fontId="11" fillId="0" borderId="1" xfId="1" applyFont="1" applyBorder="1" applyAlignment="1">
      <alignment horizontal="center" vertical="center"/>
    </xf>
    <xf numFmtId="0" fontId="11" fillId="0" borderId="1" xfId="0" applyFont="1" applyBorder="1"/>
    <xf numFmtId="164" fontId="11" fillId="0" borderId="1" xfId="1" applyNumberFormat="1" applyFont="1" applyBorder="1"/>
    <xf numFmtId="43" fontId="11" fillId="0" borderId="1" xfId="0" applyNumberFormat="1" applyFont="1" applyBorder="1"/>
    <xf numFmtId="0" fontId="11" fillId="0" borderId="1" xfId="0" applyFont="1" applyBorder="1" applyAlignment="1">
      <alignment horizontal="left"/>
    </xf>
    <xf numFmtId="43" fontId="11" fillId="0" borderId="1" xfId="1" applyFont="1" applyBorder="1"/>
    <xf numFmtId="9" fontId="11" fillId="0" borderId="1" xfId="2" applyFont="1" applyBorder="1"/>
    <xf numFmtId="10" fontId="11" fillId="0" borderId="15" xfId="0" applyNumberFormat="1" applyFont="1" applyBorder="1"/>
    <xf numFmtId="43" fontId="11" fillId="0" borderId="16" xfId="0" applyNumberFormat="1" applyFont="1" applyBorder="1"/>
    <xf numFmtId="49" fontId="12" fillId="0" borderId="17" xfId="0" applyNumberFormat="1" applyFont="1" applyBorder="1" applyAlignment="1">
      <alignment horizontal="left" vertical="center"/>
    </xf>
    <xf numFmtId="49" fontId="12" fillId="0" borderId="18" xfId="0" applyNumberFormat="1" applyFont="1" applyBorder="1" applyAlignment="1">
      <alignment vertical="center" wrapText="1"/>
    </xf>
    <xf numFmtId="49" fontId="12" fillId="0" borderId="18" xfId="0" applyNumberFormat="1" applyFont="1" applyBorder="1" applyAlignment="1">
      <alignment horizontal="center" vertical="center"/>
    </xf>
    <xf numFmtId="43" fontId="12" fillId="0" borderId="18" xfId="1" applyFont="1" applyBorder="1" applyAlignment="1">
      <alignment horizontal="center" vertical="center"/>
    </xf>
    <xf numFmtId="0" fontId="12" fillId="0" borderId="18" xfId="0" applyFont="1" applyBorder="1"/>
    <xf numFmtId="164" fontId="12" fillId="0" borderId="18" xfId="1" applyNumberFormat="1" applyFont="1" applyBorder="1"/>
    <xf numFmtId="43" fontId="12" fillId="0" borderId="18" xfId="0" applyNumberFormat="1" applyFont="1" applyBorder="1"/>
    <xf numFmtId="0" fontId="12" fillId="0" borderId="18" xfId="0" applyFont="1" applyBorder="1" applyAlignment="1">
      <alignment horizontal="left"/>
    </xf>
    <xf numFmtId="43" fontId="12" fillId="0" borderId="18" xfId="1" applyFont="1" applyBorder="1"/>
    <xf numFmtId="9" fontId="12" fillId="0" borderId="18" xfId="2" applyFont="1" applyBorder="1"/>
    <xf numFmtId="10" fontId="12" fillId="0" borderId="19" xfId="0" applyNumberFormat="1" applyFont="1" applyBorder="1"/>
    <xf numFmtId="43" fontId="12" fillId="0" borderId="20" xfId="0" applyNumberFormat="1" applyFont="1" applyBorder="1"/>
    <xf numFmtId="0" fontId="12" fillId="0" borderId="8" xfId="0" applyFont="1" applyBorder="1"/>
    <xf numFmtId="0" fontId="12" fillId="0" borderId="2" xfId="0" applyFont="1" applyBorder="1"/>
    <xf numFmtId="0" fontId="12" fillId="0" borderId="0" xfId="0" applyFont="1"/>
    <xf numFmtId="49" fontId="11" fillId="0" borderId="21" xfId="0" applyNumberFormat="1" applyFont="1" applyBorder="1" applyAlignment="1">
      <alignment horizontal="left" vertical="center"/>
    </xf>
    <xf numFmtId="49" fontId="11" fillId="0" borderId="22" xfId="0" applyNumberFormat="1" applyFont="1" applyBorder="1" applyAlignment="1">
      <alignment vertical="center" wrapText="1"/>
    </xf>
    <xf numFmtId="49" fontId="11" fillId="0" borderId="22" xfId="0" applyNumberFormat="1" applyFont="1" applyBorder="1" applyAlignment="1">
      <alignment horizontal="center" vertical="center"/>
    </xf>
    <xf numFmtId="43" fontId="11" fillId="0" borderId="22" xfId="1" applyFont="1" applyBorder="1" applyAlignment="1">
      <alignment horizontal="center" vertical="center"/>
    </xf>
    <xf numFmtId="0" fontId="11" fillId="0" borderId="22" xfId="0" applyFont="1" applyBorder="1"/>
    <xf numFmtId="164" fontId="11" fillId="0" borderId="22" xfId="1" applyNumberFormat="1" applyFont="1" applyBorder="1"/>
    <xf numFmtId="43" fontId="11" fillId="0" borderId="22" xfId="1" applyFont="1" applyBorder="1"/>
    <xf numFmtId="43" fontId="11" fillId="0" borderId="22" xfId="0" applyNumberFormat="1" applyFont="1" applyBorder="1"/>
    <xf numFmtId="0" fontId="11" fillId="0" borderId="22" xfId="0" applyFont="1" applyBorder="1" applyAlignment="1">
      <alignment horizontal="left"/>
    </xf>
    <xf numFmtId="9" fontId="11" fillId="0" borderId="22" xfId="2" applyFont="1" applyBorder="1"/>
    <xf numFmtId="10" fontId="11" fillId="0" borderId="23" xfId="0" applyNumberFormat="1" applyFont="1" applyBorder="1"/>
    <xf numFmtId="43" fontId="11" fillId="0" borderId="24" xfId="0" applyNumberFormat="1" applyFont="1" applyBorder="1"/>
    <xf numFmtId="0" fontId="11" fillId="0" borderId="8" xfId="0" applyFont="1" applyBorder="1"/>
    <xf numFmtId="0" fontId="11" fillId="0" borderId="0" xfId="0" applyFont="1"/>
    <xf numFmtId="49" fontId="11" fillId="0" borderId="9" xfId="0" applyNumberFormat="1" applyFont="1" applyBorder="1" applyAlignment="1">
      <alignment horizontal="left" vertical="center"/>
    </xf>
    <xf numFmtId="1" fontId="11" fillId="0" borderId="2" xfId="6" applyFont="1" applyFill="1" applyBorder="1" applyAlignment="1">
      <alignment horizontal="justify" vertical="justify" wrapText="1"/>
    </xf>
    <xf numFmtId="49" fontId="11" fillId="0" borderId="2" xfId="0" applyNumberFormat="1" applyFont="1" applyBorder="1" applyAlignment="1">
      <alignment horizontal="center" vertical="center"/>
    </xf>
    <xf numFmtId="43" fontId="11" fillId="0" borderId="2" xfId="1" applyFont="1" applyBorder="1" applyAlignment="1">
      <alignment horizontal="center" vertical="center"/>
    </xf>
    <xf numFmtId="0" fontId="11" fillId="0" borderId="2" xfId="0" applyFont="1" applyBorder="1" applyAlignment="1">
      <alignment horizontal="left"/>
    </xf>
    <xf numFmtId="10" fontId="11" fillId="0" borderId="25" xfId="0" applyNumberFormat="1" applyFont="1" applyBorder="1"/>
    <xf numFmtId="43" fontId="11" fillId="0" borderId="26" xfId="0" applyNumberFormat="1" applyFont="1" applyBorder="1"/>
    <xf numFmtId="0" fontId="12" fillId="0" borderId="3" xfId="0" applyFont="1" applyBorder="1" applyAlignment="1">
      <alignment horizontal="left" vertical="center"/>
    </xf>
    <xf numFmtId="1" fontId="12" fillId="0" borderId="5" xfId="6" applyFont="1" applyFill="1" applyBorder="1" applyAlignment="1">
      <alignment horizontal="justify" vertical="justify" wrapText="1"/>
    </xf>
    <xf numFmtId="49" fontId="12" fillId="0" borderId="5" xfId="0" applyNumberFormat="1" applyFont="1" applyBorder="1" applyAlignment="1">
      <alignment horizontal="center" vertical="center"/>
    </xf>
    <xf numFmtId="43" fontId="12" fillId="0" borderId="5" xfId="0" applyNumberFormat="1" applyFont="1" applyBorder="1" applyAlignment="1">
      <alignment horizontal="center" vertical="center"/>
    </xf>
    <xf numFmtId="0" fontId="12" fillId="0" borderId="5" xfId="0" applyFont="1" applyBorder="1"/>
    <xf numFmtId="164" fontId="12" fillId="0" borderId="5" xfId="1" applyNumberFormat="1" applyFont="1" applyBorder="1"/>
    <xf numFmtId="43" fontId="12" fillId="0" borderId="5" xfId="0" applyNumberFormat="1" applyFont="1" applyBorder="1"/>
    <xf numFmtId="0" fontId="12" fillId="0" borderId="5" xfId="0" applyFont="1" applyBorder="1" applyAlignment="1">
      <alignment horizontal="left"/>
    </xf>
    <xf numFmtId="43" fontId="12" fillId="0" borderId="5" xfId="1" applyFont="1" applyBorder="1"/>
    <xf numFmtId="9" fontId="12" fillId="0" borderId="5" xfId="2" applyFont="1" applyBorder="1"/>
    <xf numFmtId="10" fontId="12" fillId="0" borderId="27" xfId="0" applyNumberFormat="1" applyFont="1" applyBorder="1"/>
    <xf numFmtId="43" fontId="12" fillId="0" borderId="28" xfId="0" applyNumberFormat="1" applyFont="1" applyBorder="1"/>
    <xf numFmtId="0" fontId="11" fillId="0" borderId="29" xfId="0" applyFont="1" applyBorder="1" applyAlignment="1">
      <alignment horizontal="left" vertical="center"/>
    </xf>
    <xf numFmtId="1" fontId="11" fillId="0" borderId="4" xfId="6" applyFont="1" applyFill="1" applyBorder="1" applyAlignment="1">
      <alignment horizontal="justify" vertical="justify" wrapText="1"/>
    </xf>
    <xf numFmtId="49" fontId="11" fillId="0" borderId="4" xfId="0" applyNumberFormat="1" applyFont="1" applyBorder="1" applyAlignment="1">
      <alignment horizontal="center" vertical="center"/>
    </xf>
    <xf numFmtId="43" fontId="11" fillId="0" borderId="4" xfId="0" applyNumberFormat="1" applyFont="1" applyBorder="1"/>
    <xf numFmtId="0" fontId="11" fillId="0" borderId="4" xfId="0" applyFont="1" applyBorder="1" applyAlignment="1">
      <alignment horizontal="left"/>
    </xf>
    <xf numFmtId="10" fontId="11" fillId="0" borderId="30" xfId="0" applyNumberFormat="1" applyFont="1" applyBorder="1"/>
    <xf numFmtId="43" fontId="11" fillId="0" borderId="31" xfId="0" applyNumberFormat="1" applyFont="1" applyBorder="1"/>
    <xf numFmtId="0" fontId="11" fillId="0" borderId="9" xfId="0" applyFont="1" applyBorder="1" applyAlignment="1">
      <alignment horizontal="left" vertical="center"/>
    </xf>
    <xf numFmtId="0" fontId="11" fillId="0" borderId="14" xfId="0" applyFont="1" applyBorder="1" applyAlignment="1">
      <alignment horizontal="left" vertical="center"/>
    </xf>
    <xf numFmtId="1" fontId="11" fillId="0" borderId="1" xfId="6" applyFont="1" applyFill="1" applyBorder="1" applyAlignment="1">
      <alignment horizontal="justify" vertical="justify" wrapText="1"/>
    </xf>
    <xf numFmtId="49" fontId="11" fillId="0" borderId="1" xfId="0" applyNumberFormat="1" applyFont="1" applyBorder="1" applyAlignment="1">
      <alignment horizontal="center" vertical="center"/>
    </xf>
    <xf numFmtId="43" fontId="11" fillId="0" borderId="1" xfId="0" applyNumberFormat="1" applyFont="1" applyBorder="1" applyAlignment="1">
      <alignment horizontal="center" vertical="center"/>
    </xf>
    <xf numFmtId="43" fontId="11" fillId="0" borderId="32" xfId="0" applyNumberFormat="1" applyFont="1" applyBorder="1"/>
    <xf numFmtId="0" fontId="12" fillId="0" borderId="17" xfId="0" applyFont="1" applyBorder="1"/>
    <xf numFmtId="1" fontId="12" fillId="0" borderId="18" xfId="6" applyFont="1" applyFill="1" applyBorder="1" applyAlignment="1">
      <alignment horizontal="left" vertical="center" wrapText="1"/>
    </xf>
    <xf numFmtId="43" fontId="12" fillId="0" borderId="18" xfId="0" applyNumberFormat="1" applyFont="1" applyBorder="1" applyAlignment="1">
      <alignment horizontal="center" vertical="center"/>
    </xf>
    <xf numFmtId="0" fontId="11" fillId="0" borderId="33" xfId="0" applyFont="1" applyBorder="1"/>
    <xf numFmtId="1" fontId="11" fillId="0" borderId="22" xfId="6" applyFont="1" applyFill="1" applyBorder="1" applyAlignment="1">
      <alignment horizontal="left" vertical="center" wrapText="1"/>
    </xf>
    <xf numFmtId="43" fontId="11" fillId="0" borderId="22" xfId="0" applyNumberFormat="1" applyFont="1" applyBorder="1" applyAlignment="1">
      <alignment horizontal="center" vertical="center"/>
    </xf>
    <xf numFmtId="10" fontId="11" fillId="0" borderId="34" xfId="0" applyNumberFormat="1" applyFont="1" applyBorder="1"/>
    <xf numFmtId="1" fontId="11" fillId="0" borderId="2" xfId="6" applyFont="1" applyFill="1" applyBorder="1" applyAlignment="1">
      <alignment horizontal="left" vertical="center" wrapText="1"/>
    </xf>
    <xf numFmtId="0" fontId="11" fillId="0" borderId="21" xfId="0" applyFont="1" applyBorder="1"/>
    <xf numFmtId="1" fontId="11" fillId="0" borderId="1" xfId="6" applyFont="1" applyFill="1" applyBorder="1" applyAlignment="1">
      <alignment horizontal="left" vertical="center" wrapText="1"/>
    </xf>
    <xf numFmtId="0" fontId="12" fillId="0" borderId="35" xfId="0" applyFont="1" applyBorder="1" applyAlignment="1">
      <alignment vertical="center"/>
    </xf>
    <xf numFmtId="0" fontId="12" fillId="0" borderId="17" xfId="7" applyFont="1" applyBorder="1" applyAlignment="1">
      <alignment horizontal="left" vertical="center" wrapText="1"/>
    </xf>
    <xf numFmtId="49" fontId="12" fillId="0" borderId="18" xfId="1" applyNumberFormat="1" applyFont="1" applyBorder="1" applyAlignment="1">
      <alignment horizontal="center" vertical="center"/>
    </xf>
    <xf numFmtId="43" fontId="12" fillId="0" borderId="18" xfId="0" applyNumberFormat="1" applyFont="1" applyBorder="1" applyAlignment="1">
      <alignment vertical="center"/>
    </xf>
    <xf numFmtId="0" fontId="12" fillId="0" borderId="18" xfId="0" applyFont="1" applyBorder="1" applyAlignment="1">
      <alignment horizontal="left" vertical="center"/>
    </xf>
    <xf numFmtId="43" fontId="12" fillId="0" borderId="18" xfId="1" applyFont="1" applyBorder="1" applyAlignment="1">
      <alignment vertical="center"/>
    </xf>
    <xf numFmtId="9" fontId="12" fillId="0" borderId="18" xfId="2" applyFont="1" applyBorder="1" applyAlignment="1">
      <alignment vertical="center"/>
    </xf>
    <xf numFmtId="10" fontId="12" fillId="0" borderId="19" xfId="0" applyNumberFormat="1" applyFont="1" applyBorder="1" applyAlignment="1">
      <alignment vertical="center"/>
    </xf>
    <xf numFmtId="43" fontId="12" fillId="0" borderId="20" xfId="0" applyNumberFormat="1" applyFont="1" applyBorder="1" applyAlignment="1">
      <alignment vertical="center"/>
    </xf>
    <xf numFmtId="0" fontId="11" fillId="0" borderId="33" xfId="0" applyFont="1" applyBorder="1" applyAlignment="1">
      <alignment vertical="center"/>
    </xf>
    <xf numFmtId="0" fontId="11" fillId="0" borderId="10" xfId="7" applyFont="1" applyBorder="1" applyAlignment="1">
      <alignment horizontal="left" vertical="center" wrapText="1"/>
    </xf>
    <xf numFmtId="43" fontId="11" fillId="0" borderId="10" xfId="1" applyFont="1" applyBorder="1" applyAlignment="1">
      <alignment horizontal="center" vertical="center"/>
    </xf>
    <xf numFmtId="0" fontId="11" fillId="0" borderId="10" xfId="0" applyFont="1" applyBorder="1" applyAlignment="1">
      <alignment horizontal="left"/>
    </xf>
    <xf numFmtId="10" fontId="11" fillId="0" borderId="36" xfId="0" applyNumberFormat="1" applyFont="1" applyBorder="1"/>
    <xf numFmtId="43" fontId="11" fillId="0" borderId="37" xfId="0" applyNumberFormat="1" applyFont="1" applyBorder="1"/>
    <xf numFmtId="0" fontId="11" fillId="0" borderId="2" xfId="7" applyFont="1" applyBorder="1" applyAlignment="1">
      <alignment horizontal="left" vertical="center" wrapText="1"/>
    </xf>
    <xf numFmtId="49" fontId="12" fillId="0" borderId="22" xfId="1" applyNumberFormat="1" applyFont="1" applyBorder="1" applyAlignment="1">
      <alignment horizontal="center" vertical="center"/>
    </xf>
    <xf numFmtId="0" fontId="11" fillId="0" borderId="1" xfId="7" applyFont="1" applyBorder="1" applyAlignment="1">
      <alignment horizontal="left" vertical="center" wrapText="1"/>
    </xf>
    <xf numFmtId="10" fontId="11" fillId="0" borderId="38" xfId="0" applyNumberFormat="1" applyFont="1" applyBorder="1"/>
    <xf numFmtId="43" fontId="11" fillId="0" borderId="39" xfId="0" applyNumberFormat="1" applyFont="1" applyBorder="1"/>
    <xf numFmtId="0" fontId="12" fillId="0" borderId="35" xfId="0" applyFont="1" applyBorder="1"/>
    <xf numFmtId="1" fontId="12" fillId="0" borderId="40" xfId="6" applyFont="1" applyFill="1" applyBorder="1" applyAlignment="1">
      <alignment horizontal="left" vertical="center" wrapText="1"/>
    </xf>
    <xf numFmtId="0" fontId="12" fillId="0" borderId="41" xfId="4" applyFont="1" applyBorder="1" applyAlignment="1">
      <alignment horizontal="center" vertical="center"/>
    </xf>
    <xf numFmtId="43" fontId="12" fillId="0" borderId="18" xfId="5" applyNumberFormat="1" applyFont="1" applyBorder="1" applyAlignment="1">
      <alignment horizontal="center" vertical="center"/>
    </xf>
    <xf numFmtId="0" fontId="12" fillId="0" borderId="18" xfId="0" applyFont="1" applyBorder="1" applyAlignment="1">
      <alignment vertical="center"/>
    </xf>
    <xf numFmtId="164" fontId="12" fillId="0" borderId="18" xfId="1" applyNumberFormat="1" applyFont="1" applyBorder="1" applyAlignment="1">
      <alignment vertical="center"/>
    </xf>
    <xf numFmtId="1" fontId="12" fillId="0" borderId="40" xfId="6" applyFont="1" applyFill="1" applyBorder="1" applyAlignment="1">
      <alignment horizontal="justify" vertical="justify" wrapText="1"/>
    </xf>
    <xf numFmtId="49" fontId="12" fillId="0" borderId="17" xfId="0" applyNumberFormat="1" applyFont="1" applyBorder="1" applyAlignment="1">
      <alignment horizontal="center" vertical="center"/>
    </xf>
    <xf numFmtId="43" fontId="12" fillId="0" borderId="19" xfId="1" applyFont="1" applyBorder="1" applyAlignment="1">
      <alignment vertical="center"/>
    </xf>
    <xf numFmtId="43" fontId="12" fillId="0" borderId="17" xfId="1" applyFont="1" applyBorder="1" applyAlignment="1">
      <alignment vertical="center"/>
    </xf>
    <xf numFmtId="43" fontId="12" fillId="0" borderId="40" xfId="0" applyNumberFormat="1" applyFont="1" applyBorder="1" applyAlignment="1">
      <alignment vertical="center"/>
    </xf>
    <xf numFmtId="0" fontId="11" fillId="0" borderId="10" xfId="0" applyFont="1" applyBorder="1" applyAlignment="1">
      <alignment vertical="center"/>
    </xf>
    <xf numFmtId="1" fontId="11" fillId="0" borderId="10" xfId="6" applyFont="1" applyFill="1" applyBorder="1" applyAlignment="1">
      <alignment horizontal="justify" vertical="justify" wrapText="1"/>
    </xf>
    <xf numFmtId="49" fontId="12" fillId="0" borderId="10" xfId="0" applyNumberFormat="1" applyFont="1" applyBorder="1" applyAlignment="1">
      <alignment horizontal="center" vertical="center"/>
    </xf>
    <xf numFmtId="43" fontId="12" fillId="0" borderId="10" xfId="1" applyFont="1" applyBorder="1" applyAlignment="1">
      <alignment horizontal="center" vertical="center"/>
    </xf>
    <xf numFmtId="0" fontId="12" fillId="0" borderId="10" xfId="0" applyFont="1" applyBorder="1" applyAlignment="1">
      <alignment vertical="center"/>
    </xf>
    <xf numFmtId="164" fontId="12" fillId="0" borderId="10" xfId="1" applyNumberFormat="1" applyFont="1" applyBorder="1" applyAlignment="1">
      <alignment vertical="center"/>
    </xf>
    <xf numFmtId="43" fontId="11" fillId="0" borderId="10" xfId="1" applyFont="1" applyBorder="1" applyAlignment="1">
      <alignment vertical="center"/>
    </xf>
    <xf numFmtId="43" fontId="12" fillId="0" borderId="10" xfId="0" applyNumberFormat="1" applyFont="1" applyBorder="1" applyAlignment="1">
      <alignment vertical="center"/>
    </xf>
    <xf numFmtId="43" fontId="12" fillId="0" borderId="10" xfId="1" applyFont="1" applyBorder="1" applyAlignment="1">
      <alignment vertical="center"/>
    </xf>
    <xf numFmtId="9" fontId="12" fillId="0" borderId="10" xfId="2" applyFont="1" applyBorder="1" applyAlignment="1">
      <alignment vertical="center"/>
    </xf>
    <xf numFmtId="10" fontId="12" fillId="0" borderId="42" xfId="0" applyNumberFormat="1" applyFont="1" applyBorder="1" applyAlignment="1">
      <alignment vertical="center"/>
    </xf>
    <xf numFmtId="43" fontId="12" fillId="0" borderId="13" xfId="0" applyNumberFormat="1" applyFont="1" applyBorder="1" applyAlignment="1">
      <alignment vertical="center"/>
    </xf>
    <xf numFmtId="0" fontId="11" fillId="0" borderId="2" xfId="0" applyFont="1" applyBorder="1" applyAlignment="1">
      <alignment vertical="center"/>
    </xf>
    <xf numFmtId="43" fontId="12" fillId="0" borderId="2" xfId="1" applyFont="1" applyBorder="1" applyAlignment="1">
      <alignment horizontal="center" vertical="center"/>
    </xf>
    <xf numFmtId="164" fontId="12" fillId="0" borderId="2" xfId="1" applyNumberFormat="1" applyFont="1" applyBorder="1"/>
    <xf numFmtId="43" fontId="12" fillId="0" borderId="2" xfId="0" applyNumberFormat="1" applyFont="1" applyBorder="1"/>
    <xf numFmtId="9" fontId="12" fillId="0" borderId="2" xfId="2" applyFont="1" applyBorder="1"/>
    <xf numFmtId="10" fontId="12" fillId="0" borderId="11" xfId="0" applyNumberFormat="1" applyFont="1" applyBorder="1"/>
    <xf numFmtId="43" fontId="12" fillId="0" borderId="12" xfId="0" applyNumberFormat="1" applyFont="1" applyBorder="1"/>
    <xf numFmtId="49" fontId="12" fillId="0" borderId="1" xfId="0" applyNumberFormat="1" applyFont="1" applyBorder="1" applyAlignment="1">
      <alignment horizontal="center" vertical="center"/>
    </xf>
    <xf numFmtId="43" fontId="12" fillId="0" borderId="1" xfId="1" applyFont="1" applyBorder="1" applyAlignment="1">
      <alignment horizontal="center" vertical="center"/>
    </xf>
    <xf numFmtId="0" fontId="12" fillId="0" borderId="1" xfId="0" applyFont="1" applyBorder="1"/>
    <xf numFmtId="164" fontId="12" fillId="0" borderId="1" xfId="1" applyNumberFormat="1" applyFont="1" applyBorder="1"/>
    <xf numFmtId="43" fontId="12" fillId="0" borderId="1" xfId="0" applyNumberFormat="1" applyFont="1" applyBorder="1"/>
    <xf numFmtId="9" fontId="12" fillId="0" borderId="1" xfId="2" applyFont="1" applyBorder="1"/>
    <xf numFmtId="10" fontId="12" fillId="0" borderId="15" xfId="0" applyNumberFormat="1" applyFont="1" applyBorder="1"/>
    <xf numFmtId="43" fontId="12" fillId="0" borderId="32" xfId="0" applyNumberFormat="1" applyFont="1" applyBorder="1"/>
    <xf numFmtId="0" fontId="12" fillId="0" borderId="40" xfId="4" applyFont="1" applyBorder="1" applyAlignment="1">
      <alignment horizontal="left" vertical="center" wrapText="1"/>
    </xf>
    <xf numFmtId="0" fontId="12" fillId="0" borderId="43" xfId="4" applyFont="1" applyBorder="1" applyAlignment="1">
      <alignment horizontal="center" vertical="center"/>
    </xf>
    <xf numFmtId="43" fontId="12" fillId="0" borderId="40" xfId="5" applyNumberFormat="1" applyFont="1" applyBorder="1" applyAlignment="1">
      <alignment horizontal="center" vertical="center"/>
    </xf>
    <xf numFmtId="0" fontId="12" fillId="0" borderId="43" xfId="0" applyFont="1" applyBorder="1"/>
    <xf numFmtId="164" fontId="12" fillId="0" borderId="40" xfId="1" applyNumberFormat="1" applyFont="1" applyBorder="1"/>
    <xf numFmtId="0" fontId="12" fillId="0" borderId="40" xfId="0" applyFont="1" applyBorder="1"/>
    <xf numFmtId="43" fontId="12" fillId="0" borderId="43" xfId="0" applyNumberFormat="1" applyFont="1" applyBorder="1" applyAlignment="1">
      <alignment vertical="center"/>
    </xf>
    <xf numFmtId="0" fontId="12" fillId="0" borderId="40" xfId="0" applyFont="1" applyBorder="1" applyAlignment="1">
      <alignment horizontal="left"/>
    </xf>
    <xf numFmtId="43" fontId="12" fillId="0" borderId="43" xfId="1" applyFont="1" applyBorder="1"/>
    <xf numFmtId="43" fontId="12" fillId="0" borderId="40" xfId="1" applyFont="1" applyBorder="1"/>
    <xf numFmtId="9" fontId="12" fillId="0" borderId="43" xfId="2" applyFont="1" applyBorder="1"/>
    <xf numFmtId="43" fontId="12" fillId="0" borderId="40" xfId="0" applyNumberFormat="1" applyFont="1" applyBorder="1"/>
    <xf numFmtId="43" fontId="12" fillId="0" borderId="35" xfId="0" applyNumberFormat="1" applyFont="1" applyBorder="1"/>
    <xf numFmtId="10" fontId="12" fillId="0" borderId="40" xfId="0" applyNumberFormat="1" applyFont="1" applyBorder="1"/>
    <xf numFmtId="0" fontId="12" fillId="0" borderId="17" xfId="4" applyFont="1" applyBorder="1" applyAlignment="1">
      <alignment vertical="center"/>
    </xf>
    <xf numFmtId="0" fontId="12" fillId="0" borderId="18" xfId="4" applyFont="1" applyBorder="1" applyAlignment="1">
      <alignment horizontal="left" vertical="center" wrapText="1"/>
    </xf>
    <xf numFmtId="0" fontId="12" fillId="0" borderId="18" xfId="4" applyFont="1" applyBorder="1" applyAlignment="1">
      <alignment horizontal="center" vertical="center" wrapText="1"/>
    </xf>
    <xf numFmtId="0" fontId="11" fillId="0" borderId="33" xfId="4" applyFont="1" applyBorder="1" applyAlignment="1">
      <alignment vertical="center"/>
    </xf>
    <xf numFmtId="0" fontId="11" fillId="0" borderId="22" xfId="4" applyFont="1" applyBorder="1" applyAlignment="1">
      <alignment horizontal="left" vertical="center" wrapText="1"/>
    </xf>
    <xf numFmtId="0" fontId="12" fillId="0" borderId="22" xfId="4" applyFont="1" applyBorder="1" applyAlignment="1">
      <alignment horizontal="center" vertical="center" wrapText="1"/>
    </xf>
    <xf numFmtId="43" fontId="12" fillId="0" borderId="22" xfId="5" applyNumberFormat="1" applyFont="1" applyBorder="1" applyAlignment="1">
      <alignment horizontal="center" vertical="center"/>
    </xf>
    <xf numFmtId="0" fontId="12" fillId="0" borderId="22" xfId="0" applyFont="1" applyBorder="1"/>
    <xf numFmtId="43" fontId="12" fillId="0" borderId="22" xfId="0" applyNumberFormat="1" applyFont="1" applyBorder="1" applyAlignment="1">
      <alignment vertical="center"/>
    </xf>
    <xf numFmtId="0" fontId="12" fillId="0" borderId="22" xfId="0" applyFont="1" applyBorder="1" applyAlignment="1">
      <alignment horizontal="left"/>
    </xf>
    <xf numFmtId="43" fontId="12" fillId="0" borderId="22" xfId="1" applyFont="1" applyBorder="1" applyAlignment="1">
      <alignment vertical="center"/>
    </xf>
    <xf numFmtId="10" fontId="12" fillId="0" borderId="23" xfId="0" applyNumberFormat="1" applyFont="1" applyBorder="1" applyAlignment="1">
      <alignment vertical="center"/>
    </xf>
    <xf numFmtId="43" fontId="12" fillId="0" borderId="37" xfId="0" applyNumberFormat="1" applyFont="1" applyBorder="1" applyAlignment="1">
      <alignment vertical="center"/>
    </xf>
    <xf numFmtId="0" fontId="11" fillId="0" borderId="9" xfId="4" applyFont="1" applyBorder="1" applyAlignment="1">
      <alignment vertical="center"/>
    </xf>
    <xf numFmtId="0" fontId="11" fillId="0" borderId="1" xfId="4" applyFont="1" applyBorder="1" applyAlignment="1">
      <alignment horizontal="left" vertical="center" wrapText="1"/>
    </xf>
    <xf numFmtId="0" fontId="12" fillId="0" borderId="1" xfId="4" applyFont="1" applyBorder="1" applyAlignment="1">
      <alignment horizontal="center" vertical="center" wrapText="1"/>
    </xf>
    <xf numFmtId="43" fontId="12" fillId="0" borderId="1" xfId="5" applyNumberFormat="1" applyFont="1" applyBorder="1" applyAlignment="1">
      <alignment horizontal="center" vertical="center"/>
    </xf>
    <xf numFmtId="10" fontId="12" fillId="0" borderId="38" xfId="0" applyNumberFormat="1" applyFont="1" applyBorder="1"/>
    <xf numFmtId="43" fontId="12" fillId="0" borderId="26" xfId="0" applyNumberFormat="1" applyFont="1" applyBorder="1"/>
    <xf numFmtId="0" fontId="11" fillId="0" borderId="14" xfId="4" applyFont="1" applyBorder="1" applyAlignment="1">
      <alignment vertical="center"/>
    </xf>
    <xf numFmtId="43" fontId="12" fillId="0" borderId="39" xfId="0" applyNumberFormat="1" applyFont="1" applyBorder="1"/>
    <xf numFmtId="10" fontId="12" fillId="0" borderId="44" xfId="0" applyNumberFormat="1" applyFont="1" applyBorder="1"/>
    <xf numFmtId="0" fontId="11" fillId="0" borderId="45" xfId="4" applyFont="1" applyBorder="1" applyAlignment="1">
      <alignment vertical="center"/>
    </xf>
    <xf numFmtId="0" fontId="11" fillId="0" borderId="46" xfId="4" applyFont="1" applyBorder="1" applyAlignment="1">
      <alignment horizontal="left" vertical="center" wrapText="1"/>
    </xf>
    <xf numFmtId="0" fontId="12" fillId="0" borderId="46" xfId="4" applyFont="1" applyBorder="1" applyAlignment="1">
      <alignment horizontal="center" vertical="center" wrapText="1"/>
    </xf>
    <xf numFmtId="43" fontId="12" fillId="0" borderId="46" xfId="5" applyNumberFormat="1" applyFont="1" applyBorder="1" applyAlignment="1">
      <alignment horizontal="center" vertical="center"/>
    </xf>
    <xf numFmtId="0" fontId="12" fillId="0" borderId="46" xfId="0" applyFont="1" applyBorder="1"/>
    <xf numFmtId="164" fontId="12" fillId="0" borderId="46" xfId="1" applyNumberFormat="1" applyFont="1" applyBorder="1"/>
    <xf numFmtId="43" fontId="12" fillId="0" borderId="46" xfId="0" applyNumberFormat="1" applyFont="1" applyBorder="1"/>
    <xf numFmtId="0" fontId="11" fillId="0" borderId="46" xfId="0" applyFont="1" applyBorder="1" applyAlignment="1">
      <alignment horizontal="left"/>
    </xf>
    <xf numFmtId="43" fontId="11" fillId="0" borderId="46" xfId="1" applyFont="1" applyBorder="1"/>
    <xf numFmtId="9" fontId="12" fillId="0" borderId="46" xfId="2" applyFont="1" applyBorder="1"/>
    <xf numFmtId="10" fontId="12" fillId="0" borderId="47" xfId="0" applyNumberFormat="1" applyFont="1" applyBorder="1"/>
    <xf numFmtId="0" fontId="2" fillId="0" borderId="0" xfId="0" applyFont="1"/>
    <xf numFmtId="164" fontId="2" fillId="0" borderId="0" xfId="0" applyNumberFormat="1" applyFont="1"/>
    <xf numFmtId="164" fontId="2" fillId="0" borderId="0" xfId="1" applyNumberFormat="1" applyFont="1"/>
    <xf numFmtId="43" fontId="2" fillId="0" borderId="0" xfId="0" applyNumberFormat="1" applyFont="1"/>
    <xf numFmtId="43" fontId="12" fillId="0" borderId="0" xfId="0" applyNumberFormat="1" applyFont="1"/>
    <xf numFmtId="9" fontId="2" fillId="0" borderId="0" xfId="2" applyFont="1"/>
    <xf numFmtId="10" fontId="2" fillId="0" borderId="0" xfId="0" applyNumberFormat="1" applyFont="1"/>
    <xf numFmtId="43" fontId="3" fillId="0" borderId="0" xfId="0" applyNumberFormat="1" applyFont="1"/>
    <xf numFmtId="0" fontId="2" fillId="0" borderId="0" xfId="0" applyFont="1" applyAlignment="1">
      <alignment horizontal="left"/>
    </xf>
  </cellXfs>
  <cellStyles count="8">
    <cellStyle name="Millares" xfId="1" builtinId="3"/>
    <cellStyle name="Millares [0] 3" xfId="5" xr:uid="{286E7D7A-1928-48D5-AD7A-C8115B07D4C7}"/>
    <cellStyle name="Nivel 7" xfId="6" xr:uid="{767B93B0-9AEA-4090-AF47-9730F387871B}"/>
    <cellStyle name="Normal" xfId="0" builtinId="0"/>
    <cellStyle name="Normal 2" xfId="3" xr:uid="{537AD6F6-5D14-4BE4-A500-CF1F434306BF}"/>
    <cellStyle name="Normal 2 2" xfId="7" xr:uid="{2F33077E-1E1F-4202-B30E-D27C32E7B4D6}"/>
    <cellStyle name="Normal 5" xfId="4" xr:uid="{78021234-5845-48B4-B7FC-00E46704FA22}"/>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314325</xdr:colOff>
      <xdr:row>0</xdr:row>
      <xdr:rowOff>0</xdr:rowOff>
    </xdr:from>
    <xdr:ext cx="857249" cy="821531"/>
    <xdr:pic>
      <xdr:nvPicPr>
        <xdr:cNvPr id="2" name="Imagen 1">
          <a:extLst>
            <a:ext uri="{FF2B5EF4-FFF2-40B4-BE49-F238E27FC236}">
              <a16:creationId xmlns:a16="http://schemas.microsoft.com/office/drawing/2014/main" id="{868581D3-60ED-467A-8471-2D7C98634A6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639" t="8654" r="12483" b="10771"/>
        <a:stretch/>
      </xdr:blipFill>
      <xdr:spPr bwMode="auto">
        <a:xfrm>
          <a:off x="314325" y="0"/>
          <a:ext cx="857249" cy="821531"/>
        </a:xfrm>
        <a:prstGeom prst="rect">
          <a:avLst/>
        </a:prstGeom>
        <a:ln>
          <a:noFill/>
        </a:ln>
        <a:extLst>
          <a:ext uri="{53640926-AAD7-44D8-BBD7-CCE9431645EC}">
            <a14:shadowObscured xmlns:a14="http://schemas.microsoft.com/office/drawing/2010/main"/>
          </a:ext>
        </a:extLst>
      </xdr:spPr>
    </xdr:pic>
    <xdr:clientData/>
  </xdr:oneCellAnchor>
  <xdr:twoCellAnchor>
    <xdr:from>
      <xdr:col>0</xdr:col>
      <xdr:colOff>28575</xdr:colOff>
      <xdr:row>88</xdr:row>
      <xdr:rowOff>200025</xdr:rowOff>
    </xdr:from>
    <xdr:to>
      <xdr:col>1</xdr:col>
      <xdr:colOff>1438275</xdr:colOff>
      <xdr:row>88</xdr:row>
      <xdr:rowOff>200025</xdr:rowOff>
    </xdr:to>
    <xdr:cxnSp macro="">
      <xdr:nvCxnSpPr>
        <xdr:cNvPr id="3" name="Conector recto 2">
          <a:extLst>
            <a:ext uri="{FF2B5EF4-FFF2-40B4-BE49-F238E27FC236}">
              <a16:creationId xmlns:a16="http://schemas.microsoft.com/office/drawing/2014/main" id="{28134FB2-3D72-4723-8D33-72CDFC7B3209}"/>
            </a:ext>
          </a:extLst>
        </xdr:cNvPr>
        <xdr:cNvCxnSpPr/>
      </xdr:nvCxnSpPr>
      <xdr:spPr>
        <a:xfrm>
          <a:off x="28575" y="20621625"/>
          <a:ext cx="2809875" cy="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5353050</xdr:colOff>
      <xdr:row>89</xdr:row>
      <xdr:rowOff>9525</xdr:rowOff>
    </xdr:from>
    <xdr:to>
      <xdr:col>5</xdr:col>
      <xdr:colOff>542925</xdr:colOff>
      <xdr:row>89</xdr:row>
      <xdr:rowOff>9525</xdr:rowOff>
    </xdr:to>
    <xdr:cxnSp macro="">
      <xdr:nvCxnSpPr>
        <xdr:cNvPr id="4" name="Conector recto 3">
          <a:extLst>
            <a:ext uri="{FF2B5EF4-FFF2-40B4-BE49-F238E27FC236}">
              <a16:creationId xmlns:a16="http://schemas.microsoft.com/office/drawing/2014/main" id="{135C530D-5030-4300-BCF9-1D79AEE83070}"/>
            </a:ext>
          </a:extLst>
        </xdr:cNvPr>
        <xdr:cNvCxnSpPr/>
      </xdr:nvCxnSpPr>
      <xdr:spPr>
        <a:xfrm>
          <a:off x="6753225" y="20640675"/>
          <a:ext cx="2809875" cy="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3E97A-145C-4E00-8A8F-E18EB5512F32}">
  <sheetPr>
    <pageSetUpPr fitToPage="1"/>
  </sheetPr>
  <dimension ref="A2:V92"/>
  <sheetViews>
    <sheetView tabSelected="1" zoomScaleNormal="100" workbookViewId="0">
      <pane ySplit="6" topLeftCell="A76" activePane="bottomLeft" state="frozen"/>
      <selection activeCell="A4" sqref="A4"/>
      <selection pane="bottomLeft" activeCell="F27" sqref="F27"/>
    </sheetView>
  </sheetViews>
  <sheetFormatPr baseColWidth="10" defaultRowHeight="16.5" x14ac:dyDescent="0.3"/>
  <cols>
    <col min="1" max="1" width="21" style="2" customWidth="1"/>
    <col min="2" max="2" width="80.42578125" style="2" bestFit="1" customWidth="1"/>
    <col min="3" max="3" width="8.42578125" style="2" customWidth="1"/>
    <col min="4" max="4" width="14.42578125" style="2" bestFit="1" customWidth="1"/>
    <col min="5" max="5" width="11" style="2" bestFit="1" customWidth="1"/>
    <col min="6" max="6" width="12" style="2" bestFit="1" customWidth="1"/>
    <col min="7" max="7" width="12.42578125" style="2" bestFit="1" customWidth="1"/>
    <col min="8" max="8" width="13.42578125" style="2" bestFit="1" customWidth="1"/>
    <col min="9" max="9" width="14.28515625" style="2" customWidth="1"/>
    <col min="10" max="10" width="8.5703125" style="2" bestFit="1" customWidth="1"/>
    <col min="11" max="11" width="14.42578125" style="2" bestFit="1" customWidth="1"/>
    <col min="12" max="12" width="18" style="95" bestFit="1" customWidth="1"/>
    <col min="13" max="13" width="11" style="2" customWidth="1"/>
    <col min="14" max="14" width="22.5703125" style="2" customWidth="1"/>
    <col min="15" max="15" width="14.42578125" style="2" bestFit="1" customWidth="1"/>
    <col min="16" max="16" width="16.85546875" style="2" bestFit="1" customWidth="1"/>
    <col min="17" max="17" width="11.42578125" style="2"/>
    <col min="18" max="18" width="14.42578125" style="2" bestFit="1" customWidth="1"/>
    <col min="19" max="20" width="0" style="2" hidden="1" customWidth="1"/>
    <col min="21" max="21" width="11.42578125" style="2"/>
    <col min="22" max="22" width="14.42578125" style="2" bestFit="1" customWidth="1"/>
    <col min="23" max="16384" width="11.42578125" style="2"/>
  </cols>
  <sheetData>
    <row r="2" spans="1:22" x14ac:dyDescent="0.3">
      <c r="A2" s="1" t="s">
        <v>0</v>
      </c>
      <c r="B2" s="1"/>
      <c r="C2" s="1"/>
      <c r="D2" s="1"/>
      <c r="E2" s="1"/>
      <c r="F2" s="1"/>
      <c r="G2" s="1"/>
      <c r="H2" s="1"/>
      <c r="I2" s="1"/>
      <c r="J2" s="1"/>
      <c r="K2" s="1"/>
      <c r="L2" s="1"/>
      <c r="M2" s="1"/>
      <c r="N2" s="1"/>
      <c r="O2" s="1"/>
      <c r="P2" s="1"/>
      <c r="Q2" s="1"/>
      <c r="R2" s="1"/>
      <c r="S2" s="1"/>
      <c r="T2" s="1"/>
    </row>
    <row r="3" spans="1:22" x14ac:dyDescent="0.3">
      <c r="A3" s="1" t="s">
        <v>1</v>
      </c>
      <c r="B3" s="1"/>
      <c r="C3" s="1"/>
      <c r="D3" s="1"/>
      <c r="E3" s="1"/>
      <c r="F3" s="1"/>
      <c r="G3" s="1"/>
      <c r="H3" s="1"/>
      <c r="I3" s="1"/>
      <c r="J3" s="1"/>
      <c r="K3" s="1"/>
      <c r="L3" s="1"/>
      <c r="M3" s="1"/>
      <c r="N3" s="1"/>
      <c r="O3" s="1"/>
      <c r="P3" s="1"/>
      <c r="Q3" s="1"/>
      <c r="R3" s="1"/>
      <c r="S3" s="1"/>
      <c r="T3" s="1"/>
    </row>
    <row r="5" spans="1:22" s="6" customFormat="1" ht="38.25" x14ac:dyDescent="0.2">
      <c r="A5" s="3" t="s">
        <v>2</v>
      </c>
      <c r="B5" s="3" t="s">
        <v>3</v>
      </c>
      <c r="C5" s="3" t="s">
        <v>4</v>
      </c>
      <c r="D5" s="4" t="s">
        <v>5</v>
      </c>
      <c r="E5" s="4" t="s">
        <v>6</v>
      </c>
      <c r="F5" s="4" t="s">
        <v>7</v>
      </c>
      <c r="G5" s="4" t="s">
        <v>8</v>
      </c>
      <c r="H5" s="4" t="s">
        <v>9</v>
      </c>
      <c r="I5" s="4" t="s">
        <v>10</v>
      </c>
      <c r="J5" s="4" t="s">
        <v>11</v>
      </c>
      <c r="K5" s="4" t="s">
        <v>12</v>
      </c>
      <c r="L5" s="5" t="s">
        <v>13</v>
      </c>
      <c r="M5" s="4" t="s">
        <v>14</v>
      </c>
      <c r="N5" s="4" t="s">
        <v>15</v>
      </c>
      <c r="O5" s="4" t="s">
        <v>16</v>
      </c>
      <c r="P5" s="4" t="s">
        <v>17</v>
      </c>
      <c r="Q5" s="4" t="s">
        <v>14</v>
      </c>
      <c r="R5" s="4" t="s">
        <v>18</v>
      </c>
      <c r="S5" s="4" t="s">
        <v>19</v>
      </c>
      <c r="T5" s="4" t="s">
        <v>20</v>
      </c>
    </row>
    <row r="6" spans="1:22" ht="17.25" thickBot="1" x14ac:dyDescent="0.35">
      <c r="A6" s="7" t="s">
        <v>21</v>
      </c>
      <c r="B6" s="8" t="s">
        <v>22</v>
      </c>
      <c r="C6" s="9"/>
      <c r="D6" s="10"/>
      <c r="E6" s="11"/>
      <c r="F6" s="11"/>
      <c r="G6" s="11"/>
      <c r="H6" s="11"/>
      <c r="I6" s="11"/>
      <c r="J6" s="11"/>
      <c r="K6" s="11"/>
      <c r="L6" s="12"/>
      <c r="M6" s="11"/>
      <c r="N6" s="11"/>
      <c r="O6" s="11"/>
      <c r="P6" s="10">
        <f>P7+P8+P9+P10+P11+P12+P13+P14+P15+P16+P17+P18+P19+P20+P21+P22+P23+P24+P25+P26+P27+P28+P42+P50+P55+P59+P60+P74+P75+P79+P80</f>
        <v>773562598.33333337</v>
      </c>
      <c r="Q6" s="11"/>
      <c r="R6" s="11"/>
      <c r="S6" s="13"/>
      <c r="T6" s="13"/>
    </row>
    <row r="7" spans="1:22" x14ac:dyDescent="0.3">
      <c r="A7" s="14" t="s">
        <v>23</v>
      </c>
      <c r="B7" s="15" t="s">
        <v>24</v>
      </c>
      <c r="C7" s="16" t="s">
        <v>25</v>
      </c>
      <c r="D7" s="17">
        <v>551624207</v>
      </c>
      <c r="E7" s="18"/>
      <c r="F7" s="19"/>
      <c r="G7" s="18"/>
      <c r="H7" s="18"/>
      <c r="I7" s="20">
        <f>D7-E7+F7+G7-H7</f>
        <v>551624207</v>
      </c>
      <c r="J7" s="18" t="s">
        <v>26</v>
      </c>
      <c r="K7" s="21">
        <v>331781747</v>
      </c>
      <c r="L7" s="21">
        <v>70791678</v>
      </c>
      <c r="M7" s="22">
        <f>N7/I7</f>
        <v>0.72979651706981741</v>
      </c>
      <c r="N7" s="20">
        <f>K7+L7</f>
        <v>402573425</v>
      </c>
      <c r="O7" s="20">
        <f>K7+L7</f>
        <v>402573425</v>
      </c>
      <c r="P7" s="20">
        <f>I7-N7</f>
        <v>149050782</v>
      </c>
      <c r="Q7" s="23">
        <f>P7/I7</f>
        <v>0.27020348293018259</v>
      </c>
      <c r="R7" s="24">
        <f>O7</f>
        <v>402573425</v>
      </c>
      <c r="S7" s="25"/>
      <c r="T7" s="26"/>
      <c r="V7" s="27"/>
    </row>
    <row r="8" spans="1:22" x14ac:dyDescent="0.3">
      <c r="A8" s="28" t="s">
        <v>27</v>
      </c>
      <c r="B8" s="29" t="s">
        <v>28</v>
      </c>
      <c r="C8" s="30" t="s">
        <v>29</v>
      </c>
      <c r="D8" s="31"/>
      <c r="E8" s="32"/>
      <c r="F8" s="33">
        <v>80000000</v>
      </c>
      <c r="G8" s="32"/>
      <c r="H8" s="32"/>
      <c r="I8" s="34">
        <f>D8-E8+F8+G8-H8</f>
        <v>80000000</v>
      </c>
      <c r="J8" s="35" t="s">
        <v>26</v>
      </c>
      <c r="K8" s="36"/>
      <c r="L8" s="37">
        <v>0</v>
      </c>
      <c r="M8" s="38"/>
      <c r="N8" s="34">
        <f>K8+L8</f>
        <v>0</v>
      </c>
      <c r="O8" s="34">
        <f t="shared" ref="O8:O60" si="0">K8+L8</f>
        <v>0</v>
      </c>
      <c r="P8" s="34">
        <f>I8-N8</f>
        <v>80000000</v>
      </c>
      <c r="Q8" s="39">
        <f>P8/I8</f>
        <v>1</v>
      </c>
      <c r="R8" s="40">
        <f t="shared" ref="R8:R60" si="1">O8</f>
        <v>0</v>
      </c>
      <c r="S8" s="25"/>
      <c r="T8" s="26"/>
      <c r="V8" s="27"/>
    </row>
    <row r="9" spans="1:22" x14ac:dyDescent="0.3">
      <c r="A9" s="28" t="s">
        <v>30</v>
      </c>
      <c r="B9" s="41" t="s">
        <v>31</v>
      </c>
      <c r="C9" s="42" t="s">
        <v>25</v>
      </c>
      <c r="D9" s="43">
        <v>1452000.0000000002</v>
      </c>
      <c r="E9" s="35"/>
      <c r="F9" s="44"/>
      <c r="G9" s="35"/>
      <c r="H9" s="35"/>
      <c r="I9" s="34">
        <f t="shared" ref="I9:I75" si="2">D9-E9+F9+G9-H9</f>
        <v>1452000.0000000002</v>
      </c>
      <c r="J9" s="35" t="s">
        <v>26</v>
      </c>
      <c r="K9" s="36">
        <v>720411</v>
      </c>
      <c r="L9" s="36">
        <v>117172</v>
      </c>
      <c r="M9" s="45">
        <f t="shared" ref="M9:M75" si="3">N9/I9</f>
        <v>0.57684779614325055</v>
      </c>
      <c r="N9" s="46">
        <f t="shared" ref="N9:N74" si="4">K9+L9</f>
        <v>837583</v>
      </c>
      <c r="O9" s="46">
        <f t="shared" si="0"/>
        <v>837583</v>
      </c>
      <c r="P9" s="34">
        <f t="shared" ref="P9:P75" si="5">I9-N9</f>
        <v>614417.00000000023</v>
      </c>
      <c r="Q9" s="39">
        <f t="shared" ref="Q9:Q83" si="6">P9/I9</f>
        <v>0.4231522038567494</v>
      </c>
      <c r="R9" s="47">
        <f t="shared" si="1"/>
        <v>837583</v>
      </c>
      <c r="S9" s="25"/>
      <c r="T9" s="26"/>
      <c r="V9" s="27"/>
    </row>
    <row r="10" spans="1:22" x14ac:dyDescent="0.3">
      <c r="A10" s="28" t="s">
        <v>32</v>
      </c>
      <c r="B10" s="41" t="s">
        <v>33</v>
      </c>
      <c r="C10" s="42" t="s">
        <v>25</v>
      </c>
      <c r="D10" s="43">
        <v>19900000</v>
      </c>
      <c r="E10" s="35"/>
      <c r="F10" s="44"/>
      <c r="G10" s="35"/>
      <c r="H10" s="35"/>
      <c r="I10" s="34">
        <f t="shared" si="2"/>
        <v>19900000</v>
      </c>
      <c r="J10" s="35" t="s">
        <v>26</v>
      </c>
      <c r="K10" s="36">
        <v>9246619</v>
      </c>
      <c r="L10" s="36">
        <v>7363325</v>
      </c>
      <c r="M10" s="45">
        <f t="shared" si="3"/>
        <v>0.83467055276381907</v>
      </c>
      <c r="N10" s="34">
        <f t="shared" si="4"/>
        <v>16609944</v>
      </c>
      <c r="O10" s="34">
        <f t="shared" si="0"/>
        <v>16609944</v>
      </c>
      <c r="P10" s="34">
        <f t="shared" si="5"/>
        <v>3290056</v>
      </c>
      <c r="Q10" s="39">
        <f t="shared" si="6"/>
        <v>0.1653294472361809</v>
      </c>
      <c r="R10" s="40">
        <f t="shared" si="1"/>
        <v>16609944</v>
      </c>
      <c r="S10" s="25"/>
      <c r="T10" s="26"/>
      <c r="V10" s="27"/>
    </row>
    <row r="11" spans="1:22" x14ac:dyDescent="0.3">
      <c r="A11" s="28" t="s">
        <v>34</v>
      </c>
      <c r="B11" s="41" t="s">
        <v>35</v>
      </c>
      <c r="C11" s="42" t="s">
        <v>25</v>
      </c>
      <c r="D11" s="43">
        <v>58300000</v>
      </c>
      <c r="E11" s="35"/>
      <c r="F11" s="44"/>
      <c r="G11" s="35"/>
      <c r="H11" s="35"/>
      <c r="I11" s="34">
        <f t="shared" si="2"/>
        <v>58300000</v>
      </c>
      <c r="J11" s="35" t="s">
        <v>26</v>
      </c>
      <c r="K11" s="36">
        <v>832932</v>
      </c>
      <c r="L11" s="36">
        <v>4500830</v>
      </c>
      <c r="M11" s="45">
        <f t="shared" si="3"/>
        <v>9.1488198970840484E-2</v>
      </c>
      <c r="N11" s="34">
        <f t="shared" si="4"/>
        <v>5333762</v>
      </c>
      <c r="O11" s="34">
        <f t="shared" si="0"/>
        <v>5333762</v>
      </c>
      <c r="P11" s="34">
        <f t="shared" si="5"/>
        <v>52966238</v>
      </c>
      <c r="Q11" s="39">
        <f t="shared" si="6"/>
        <v>0.90851180102915952</v>
      </c>
      <c r="R11" s="40">
        <f t="shared" si="1"/>
        <v>5333762</v>
      </c>
      <c r="S11" s="25"/>
      <c r="T11" s="26"/>
      <c r="V11" s="27"/>
    </row>
    <row r="12" spans="1:22" x14ac:dyDescent="0.3">
      <c r="A12" s="28" t="s">
        <v>36</v>
      </c>
      <c r="B12" s="41" t="s">
        <v>37</v>
      </c>
      <c r="C12" s="42" t="s">
        <v>25</v>
      </c>
      <c r="D12" s="43">
        <v>28500000</v>
      </c>
      <c r="E12" s="35"/>
      <c r="F12" s="44"/>
      <c r="G12" s="44"/>
      <c r="H12" s="35"/>
      <c r="I12" s="34">
        <f t="shared" si="2"/>
        <v>28500000</v>
      </c>
      <c r="J12" s="35" t="s">
        <v>26</v>
      </c>
      <c r="K12" s="36">
        <v>16050998</v>
      </c>
      <c r="L12" s="36">
        <v>2668272</v>
      </c>
      <c r="M12" s="45">
        <f t="shared" si="3"/>
        <v>0.65681649122807018</v>
      </c>
      <c r="N12" s="34">
        <f t="shared" si="4"/>
        <v>18719270</v>
      </c>
      <c r="O12" s="34">
        <f t="shared" si="0"/>
        <v>18719270</v>
      </c>
      <c r="P12" s="34">
        <f t="shared" si="5"/>
        <v>9780730</v>
      </c>
      <c r="Q12" s="39">
        <f t="shared" si="6"/>
        <v>0.34318350877192982</v>
      </c>
      <c r="R12" s="40">
        <f t="shared" si="1"/>
        <v>18719270</v>
      </c>
      <c r="S12" s="25"/>
      <c r="T12" s="26"/>
      <c r="V12" s="27"/>
    </row>
    <row r="13" spans="1:22" x14ac:dyDescent="0.3">
      <c r="A13" s="28" t="s">
        <v>38</v>
      </c>
      <c r="B13" s="41" t="s">
        <v>39</v>
      </c>
      <c r="C13" s="42" t="s">
        <v>29</v>
      </c>
      <c r="D13" s="43"/>
      <c r="E13" s="35"/>
      <c r="F13" s="44">
        <v>16000000</v>
      </c>
      <c r="G13" s="44"/>
      <c r="H13" s="35"/>
      <c r="I13" s="34">
        <f t="shared" si="2"/>
        <v>16000000</v>
      </c>
      <c r="J13" s="35" t="s">
        <v>26</v>
      </c>
      <c r="K13" s="36"/>
      <c r="L13" s="36">
        <v>0</v>
      </c>
      <c r="M13" s="45"/>
      <c r="N13" s="34">
        <f t="shared" si="4"/>
        <v>0</v>
      </c>
      <c r="O13" s="34">
        <f t="shared" si="0"/>
        <v>0</v>
      </c>
      <c r="P13" s="34">
        <f t="shared" si="5"/>
        <v>16000000</v>
      </c>
      <c r="Q13" s="39">
        <f t="shared" si="6"/>
        <v>1</v>
      </c>
      <c r="R13" s="40">
        <f t="shared" si="1"/>
        <v>0</v>
      </c>
      <c r="S13" s="25"/>
      <c r="T13" s="26"/>
      <c r="V13" s="27"/>
    </row>
    <row r="14" spans="1:22" x14ac:dyDescent="0.3">
      <c r="A14" s="28" t="s">
        <v>40</v>
      </c>
      <c r="B14" s="48" t="s">
        <v>41</v>
      </c>
      <c r="C14" s="42">
        <v>1</v>
      </c>
      <c r="D14" s="43">
        <v>28500000</v>
      </c>
      <c r="E14" s="35"/>
      <c r="F14" s="44"/>
      <c r="G14" s="44">
        <v>6000000</v>
      </c>
      <c r="H14" s="35"/>
      <c r="I14" s="34">
        <f t="shared" si="2"/>
        <v>34500000</v>
      </c>
      <c r="J14" s="35" t="s">
        <v>26</v>
      </c>
      <c r="K14" s="36">
        <v>27460454</v>
      </c>
      <c r="L14" s="36">
        <v>2565927</v>
      </c>
      <c r="M14" s="45">
        <f t="shared" si="3"/>
        <v>0.87032988405797096</v>
      </c>
      <c r="N14" s="34">
        <f t="shared" si="4"/>
        <v>30026381</v>
      </c>
      <c r="O14" s="34">
        <f t="shared" si="0"/>
        <v>30026381</v>
      </c>
      <c r="P14" s="34">
        <f t="shared" si="5"/>
        <v>4473619</v>
      </c>
      <c r="Q14" s="39">
        <f t="shared" si="6"/>
        <v>0.12967011594202899</v>
      </c>
      <c r="R14" s="40">
        <f t="shared" si="1"/>
        <v>30026381</v>
      </c>
      <c r="S14" s="25"/>
      <c r="T14" s="26"/>
      <c r="V14" s="27"/>
    </row>
    <row r="15" spans="1:22" x14ac:dyDescent="0.3">
      <c r="A15" s="28" t="s">
        <v>42</v>
      </c>
      <c r="B15" s="41" t="s">
        <v>43</v>
      </c>
      <c r="C15" s="42" t="s">
        <v>25</v>
      </c>
      <c r="D15" s="43">
        <v>74000000</v>
      </c>
      <c r="E15" s="35"/>
      <c r="F15" s="44"/>
      <c r="G15" s="35"/>
      <c r="H15" s="35"/>
      <c r="I15" s="34">
        <f t="shared" si="2"/>
        <v>74000000</v>
      </c>
      <c r="J15" s="35" t="s">
        <v>26</v>
      </c>
      <c r="K15" s="36">
        <v>40964118</v>
      </c>
      <c r="L15" s="36">
        <v>8330700</v>
      </c>
      <c r="M15" s="45">
        <f t="shared" si="3"/>
        <v>0.66614618918918922</v>
      </c>
      <c r="N15" s="34">
        <f t="shared" si="4"/>
        <v>49294818</v>
      </c>
      <c r="O15" s="34">
        <f t="shared" si="0"/>
        <v>49294818</v>
      </c>
      <c r="P15" s="34">
        <f t="shared" si="5"/>
        <v>24705182</v>
      </c>
      <c r="Q15" s="39">
        <f t="shared" si="6"/>
        <v>0.33385381081081084</v>
      </c>
      <c r="R15" s="40">
        <f t="shared" si="1"/>
        <v>49294818</v>
      </c>
      <c r="S15" s="25"/>
      <c r="T15" s="26"/>
      <c r="V15" s="27"/>
    </row>
    <row r="16" spans="1:22" x14ac:dyDescent="0.3">
      <c r="A16" s="28" t="s">
        <v>44</v>
      </c>
      <c r="B16" s="41" t="s">
        <v>45</v>
      </c>
      <c r="C16" s="42" t="s">
        <v>25</v>
      </c>
      <c r="D16" s="43">
        <v>52100000</v>
      </c>
      <c r="E16" s="35"/>
      <c r="F16" s="44"/>
      <c r="G16" s="35"/>
      <c r="H16" s="35"/>
      <c r="I16" s="34">
        <f t="shared" si="2"/>
        <v>52100000</v>
      </c>
      <c r="J16" s="35" t="s">
        <v>26</v>
      </c>
      <c r="K16" s="36">
        <v>29280203</v>
      </c>
      <c r="L16" s="36">
        <v>5901499</v>
      </c>
      <c r="M16" s="45">
        <f t="shared" si="3"/>
        <v>0.67527259117082539</v>
      </c>
      <c r="N16" s="34">
        <f t="shared" si="4"/>
        <v>35181702</v>
      </c>
      <c r="O16" s="34">
        <f t="shared" si="0"/>
        <v>35181702</v>
      </c>
      <c r="P16" s="34">
        <f t="shared" si="5"/>
        <v>16918298</v>
      </c>
      <c r="Q16" s="39">
        <f t="shared" si="6"/>
        <v>0.32472740882917467</v>
      </c>
      <c r="R16" s="40">
        <f t="shared" si="1"/>
        <v>35181702</v>
      </c>
      <c r="S16" s="25"/>
      <c r="T16" s="26"/>
      <c r="V16" s="27"/>
    </row>
    <row r="17" spans="1:22" x14ac:dyDescent="0.3">
      <c r="A17" s="28" t="s">
        <v>46</v>
      </c>
      <c r="B17" s="41" t="s">
        <v>47</v>
      </c>
      <c r="C17" s="42" t="s">
        <v>25</v>
      </c>
      <c r="D17" s="43">
        <v>59800000</v>
      </c>
      <c r="E17" s="35"/>
      <c r="F17" s="44"/>
      <c r="G17" s="35"/>
      <c r="H17" s="35"/>
      <c r="I17" s="34">
        <f t="shared" si="2"/>
        <v>59800000</v>
      </c>
      <c r="J17" s="35" t="s">
        <v>26</v>
      </c>
      <c r="K17" s="36">
        <v>1591091</v>
      </c>
      <c r="L17" s="36">
        <v>5233218</v>
      </c>
      <c r="M17" s="45">
        <f t="shared" si="3"/>
        <v>0.11411887959866221</v>
      </c>
      <c r="N17" s="34">
        <f t="shared" si="4"/>
        <v>6824309</v>
      </c>
      <c r="O17" s="34">
        <f t="shared" si="0"/>
        <v>6824309</v>
      </c>
      <c r="P17" s="34">
        <f t="shared" si="5"/>
        <v>52975691</v>
      </c>
      <c r="Q17" s="39">
        <f t="shared" si="6"/>
        <v>0.88588112040133782</v>
      </c>
      <c r="R17" s="40">
        <f t="shared" si="1"/>
        <v>6824309</v>
      </c>
      <c r="S17" s="25"/>
      <c r="T17" s="26"/>
      <c r="V17" s="27"/>
    </row>
    <row r="18" spans="1:22" x14ac:dyDescent="0.3">
      <c r="A18" s="28" t="s">
        <v>48</v>
      </c>
      <c r="B18" s="41" t="s">
        <v>49</v>
      </c>
      <c r="C18" s="42" t="s">
        <v>29</v>
      </c>
      <c r="D18" s="43"/>
      <c r="E18" s="35"/>
      <c r="F18" s="44">
        <v>15000000</v>
      </c>
      <c r="G18" s="35"/>
      <c r="H18" s="35"/>
      <c r="I18" s="34">
        <f t="shared" si="2"/>
        <v>15000000</v>
      </c>
      <c r="J18" s="35" t="s">
        <v>26</v>
      </c>
      <c r="K18" s="36"/>
      <c r="L18" s="36">
        <v>0</v>
      </c>
      <c r="M18" s="45"/>
      <c r="N18" s="34">
        <f t="shared" si="4"/>
        <v>0</v>
      </c>
      <c r="O18" s="34">
        <f t="shared" si="0"/>
        <v>0</v>
      </c>
      <c r="P18" s="34">
        <f t="shared" si="5"/>
        <v>15000000</v>
      </c>
      <c r="Q18" s="39">
        <f t="shared" si="6"/>
        <v>1</v>
      </c>
      <c r="R18" s="40">
        <f t="shared" si="1"/>
        <v>0</v>
      </c>
      <c r="S18" s="25"/>
      <c r="T18" s="26"/>
      <c r="V18" s="27"/>
    </row>
    <row r="19" spans="1:22" x14ac:dyDescent="0.3">
      <c r="A19" s="28" t="s">
        <v>50</v>
      </c>
      <c r="B19" s="49" t="s">
        <v>51</v>
      </c>
      <c r="C19" s="50" t="s">
        <v>25</v>
      </c>
      <c r="D19" s="43">
        <v>29000000</v>
      </c>
      <c r="E19" s="35"/>
      <c r="F19" s="44"/>
      <c r="G19" s="35"/>
      <c r="H19" s="35"/>
      <c r="I19" s="34">
        <f t="shared" si="2"/>
        <v>29000000</v>
      </c>
      <c r="J19" s="35" t="s">
        <v>26</v>
      </c>
      <c r="K19" s="36">
        <v>13571600</v>
      </c>
      <c r="L19" s="36">
        <v>2692700</v>
      </c>
      <c r="M19" s="45">
        <f t="shared" si="3"/>
        <v>0.56083793103448276</v>
      </c>
      <c r="N19" s="34">
        <f t="shared" si="4"/>
        <v>16264300</v>
      </c>
      <c r="O19" s="34">
        <f t="shared" si="0"/>
        <v>16264300</v>
      </c>
      <c r="P19" s="34">
        <f t="shared" si="5"/>
        <v>12735700</v>
      </c>
      <c r="Q19" s="39">
        <f t="shared" si="6"/>
        <v>0.43916206896551724</v>
      </c>
      <c r="R19" s="40">
        <f t="shared" si="1"/>
        <v>16264300</v>
      </c>
      <c r="S19" s="25"/>
      <c r="T19" s="26"/>
      <c r="V19" s="27"/>
    </row>
    <row r="20" spans="1:22" x14ac:dyDescent="0.3">
      <c r="A20" s="28" t="s">
        <v>52</v>
      </c>
      <c r="B20" s="49" t="s">
        <v>53</v>
      </c>
      <c r="C20" s="51" t="s">
        <v>25</v>
      </c>
      <c r="D20" s="43">
        <v>4200000</v>
      </c>
      <c r="E20" s="35"/>
      <c r="F20" s="44"/>
      <c r="G20" s="35"/>
      <c r="H20" s="35"/>
      <c r="I20" s="34">
        <f t="shared" si="2"/>
        <v>4200000</v>
      </c>
      <c r="J20" s="35" t="s">
        <v>26</v>
      </c>
      <c r="K20" s="36">
        <v>1746600</v>
      </c>
      <c r="L20" s="36">
        <v>351800</v>
      </c>
      <c r="M20" s="45">
        <f t="shared" si="3"/>
        <v>0.49961904761904763</v>
      </c>
      <c r="N20" s="34">
        <f t="shared" si="4"/>
        <v>2098400</v>
      </c>
      <c r="O20" s="34">
        <f t="shared" si="0"/>
        <v>2098400</v>
      </c>
      <c r="P20" s="34">
        <f t="shared" si="5"/>
        <v>2101600</v>
      </c>
      <c r="Q20" s="39">
        <f t="shared" si="6"/>
        <v>0.50038095238095237</v>
      </c>
      <c r="R20" s="40">
        <f t="shared" si="1"/>
        <v>2098400</v>
      </c>
      <c r="S20" s="25"/>
      <c r="T20" s="26"/>
      <c r="V20" s="27"/>
    </row>
    <row r="21" spans="1:22" x14ac:dyDescent="0.3">
      <c r="A21" s="28" t="s">
        <v>54</v>
      </c>
      <c r="B21" s="49" t="s">
        <v>55</v>
      </c>
      <c r="C21" s="51" t="s">
        <v>25</v>
      </c>
      <c r="D21" s="43">
        <v>24500000</v>
      </c>
      <c r="E21" s="35"/>
      <c r="F21" s="44"/>
      <c r="G21" s="35"/>
      <c r="H21" s="35"/>
      <c r="I21" s="34">
        <f t="shared" si="2"/>
        <v>24500000</v>
      </c>
      <c r="J21" s="35" t="s">
        <v>26</v>
      </c>
      <c r="K21" s="36">
        <v>10180200</v>
      </c>
      <c r="L21" s="36">
        <v>2019600</v>
      </c>
      <c r="M21" s="45">
        <f t="shared" si="3"/>
        <v>0.49795102040816325</v>
      </c>
      <c r="N21" s="34">
        <f t="shared" si="4"/>
        <v>12199800</v>
      </c>
      <c r="O21" s="34">
        <f t="shared" si="0"/>
        <v>12199800</v>
      </c>
      <c r="P21" s="34">
        <f t="shared" si="5"/>
        <v>12300200</v>
      </c>
      <c r="Q21" s="39">
        <f t="shared" si="6"/>
        <v>0.5020489795918367</v>
      </c>
      <c r="R21" s="40">
        <f t="shared" si="1"/>
        <v>12199800</v>
      </c>
      <c r="S21" s="25"/>
      <c r="T21" s="26"/>
      <c r="V21" s="27"/>
    </row>
    <row r="22" spans="1:22" x14ac:dyDescent="0.3">
      <c r="A22" s="28" t="s">
        <v>56</v>
      </c>
      <c r="B22" s="49" t="s">
        <v>57</v>
      </c>
      <c r="C22" s="51" t="s">
        <v>25</v>
      </c>
      <c r="D22" s="43">
        <v>4300000</v>
      </c>
      <c r="E22" s="35"/>
      <c r="F22" s="44"/>
      <c r="G22" s="35"/>
      <c r="H22" s="35"/>
      <c r="I22" s="34">
        <f t="shared" si="2"/>
        <v>4300000</v>
      </c>
      <c r="J22" s="35" t="s">
        <v>26</v>
      </c>
      <c r="K22" s="36">
        <v>1700100</v>
      </c>
      <c r="L22" s="36">
        <v>337100</v>
      </c>
      <c r="M22" s="45">
        <f t="shared" si="3"/>
        <v>0.4737674418604651</v>
      </c>
      <c r="N22" s="34">
        <f>K22+L22</f>
        <v>2037200</v>
      </c>
      <c r="O22" s="34">
        <f t="shared" si="0"/>
        <v>2037200</v>
      </c>
      <c r="P22" s="34">
        <f t="shared" si="5"/>
        <v>2262800</v>
      </c>
      <c r="Q22" s="39">
        <f t="shared" si="6"/>
        <v>0.52623255813953485</v>
      </c>
      <c r="R22" s="40">
        <f t="shared" si="1"/>
        <v>2037200</v>
      </c>
      <c r="S22" s="25"/>
      <c r="T22" s="26"/>
      <c r="V22" s="27"/>
    </row>
    <row r="23" spans="1:22" x14ac:dyDescent="0.3">
      <c r="A23" s="28" t="s">
        <v>58</v>
      </c>
      <c r="B23" s="49" t="s">
        <v>59</v>
      </c>
      <c r="C23" s="51" t="s">
        <v>25</v>
      </c>
      <c r="D23" s="43">
        <v>4300000</v>
      </c>
      <c r="E23" s="35"/>
      <c r="F23" s="44"/>
      <c r="G23" s="35"/>
      <c r="H23" s="35"/>
      <c r="I23" s="34">
        <f t="shared" si="2"/>
        <v>4300000</v>
      </c>
      <c r="J23" s="35" t="s">
        <v>26</v>
      </c>
      <c r="K23" s="36">
        <v>1700100</v>
      </c>
      <c r="L23" s="36">
        <v>337100</v>
      </c>
      <c r="M23" s="45">
        <f t="shared" si="3"/>
        <v>0.4737674418604651</v>
      </c>
      <c r="N23" s="34">
        <f t="shared" si="4"/>
        <v>2037200</v>
      </c>
      <c r="O23" s="34">
        <f t="shared" si="0"/>
        <v>2037200</v>
      </c>
      <c r="P23" s="34">
        <f t="shared" si="5"/>
        <v>2262800</v>
      </c>
      <c r="Q23" s="39">
        <f t="shared" si="6"/>
        <v>0.52623255813953485</v>
      </c>
      <c r="R23" s="40">
        <f t="shared" si="1"/>
        <v>2037200</v>
      </c>
      <c r="S23" s="25"/>
      <c r="T23" s="26"/>
      <c r="V23" s="27"/>
    </row>
    <row r="24" spans="1:22" x14ac:dyDescent="0.3">
      <c r="A24" s="28" t="s">
        <v>60</v>
      </c>
      <c r="B24" s="49" t="s">
        <v>61</v>
      </c>
      <c r="C24" s="51" t="s">
        <v>25</v>
      </c>
      <c r="D24" s="43">
        <v>7800000</v>
      </c>
      <c r="E24" s="35"/>
      <c r="F24" s="44"/>
      <c r="G24" s="35"/>
      <c r="H24" s="35"/>
      <c r="I24" s="34">
        <f t="shared" si="2"/>
        <v>7800000</v>
      </c>
      <c r="J24" s="35" t="s">
        <v>26</v>
      </c>
      <c r="K24" s="36">
        <v>3395400</v>
      </c>
      <c r="L24" s="36">
        <v>673700</v>
      </c>
      <c r="M24" s="45">
        <f t="shared" si="3"/>
        <v>0.5216794871794872</v>
      </c>
      <c r="N24" s="34">
        <f t="shared" si="4"/>
        <v>4069100</v>
      </c>
      <c r="O24" s="34">
        <f t="shared" si="0"/>
        <v>4069100</v>
      </c>
      <c r="P24" s="34">
        <f t="shared" si="5"/>
        <v>3730900</v>
      </c>
      <c r="Q24" s="39">
        <f t="shared" si="6"/>
        <v>0.4783205128205128</v>
      </c>
      <c r="R24" s="40">
        <f t="shared" si="1"/>
        <v>4069100</v>
      </c>
      <c r="S24" s="25"/>
      <c r="T24" s="26"/>
      <c r="V24" s="27"/>
    </row>
    <row r="25" spans="1:22" x14ac:dyDescent="0.3">
      <c r="A25" s="52" t="s">
        <v>62</v>
      </c>
      <c r="B25" s="48" t="s">
        <v>63</v>
      </c>
      <c r="C25" s="53" t="s">
        <v>25</v>
      </c>
      <c r="D25" s="54">
        <v>44000000</v>
      </c>
      <c r="E25" s="35"/>
      <c r="F25" s="44"/>
      <c r="G25" s="35"/>
      <c r="H25" s="35"/>
      <c r="I25" s="34">
        <f t="shared" si="2"/>
        <v>44000000</v>
      </c>
      <c r="J25" s="35" t="s">
        <v>26</v>
      </c>
      <c r="K25" s="36">
        <v>26974999</v>
      </c>
      <c r="L25" s="36">
        <v>3676510</v>
      </c>
      <c r="M25" s="45">
        <f t="shared" si="3"/>
        <v>0.69662520454545451</v>
      </c>
      <c r="N25" s="34">
        <f t="shared" si="4"/>
        <v>30651509</v>
      </c>
      <c r="O25" s="34">
        <f t="shared" si="0"/>
        <v>30651509</v>
      </c>
      <c r="P25" s="34">
        <f t="shared" si="5"/>
        <v>13348491</v>
      </c>
      <c r="Q25" s="39">
        <f t="shared" si="6"/>
        <v>0.30337479545454543</v>
      </c>
      <c r="R25" s="40">
        <f t="shared" si="1"/>
        <v>30651509</v>
      </c>
      <c r="S25" s="25"/>
      <c r="T25" s="26"/>
      <c r="V25" s="27"/>
    </row>
    <row r="26" spans="1:22" x14ac:dyDescent="0.3">
      <c r="A26" s="52" t="s">
        <v>62</v>
      </c>
      <c r="B26" s="48" t="s">
        <v>64</v>
      </c>
      <c r="C26" s="53">
        <v>45</v>
      </c>
      <c r="D26" s="54"/>
      <c r="E26" s="35"/>
      <c r="F26" s="44">
        <v>50000000</v>
      </c>
      <c r="G26" s="35"/>
      <c r="H26" s="35"/>
      <c r="I26" s="34">
        <f t="shared" si="2"/>
        <v>50000000</v>
      </c>
      <c r="J26" s="35" t="s">
        <v>26</v>
      </c>
      <c r="K26" s="36"/>
      <c r="L26" s="36">
        <v>0</v>
      </c>
      <c r="M26" s="45"/>
      <c r="N26" s="34">
        <f t="shared" si="4"/>
        <v>0</v>
      </c>
      <c r="O26" s="34">
        <f t="shared" si="0"/>
        <v>0</v>
      </c>
      <c r="P26" s="34">
        <f t="shared" si="5"/>
        <v>50000000</v>
      </c>
      <c r="Q26" s="39">
        <f t="shared" si="6"/>
        <v>1</v>
      </c>
      <c r="R26" s="40">
        <f t="shared" si="1"/>
        <v>0</v>
      </c>
      <c r="S26" s="25"/>
      <c r="T26" s="26"/>
      <c r="V26" s="27"/>
    </row>
    <row r="27" spans="1:22" ht="17.25" thickBot="1" x14ac:dyDescent="0.35">
      <c r="A27" s="55" t="s">
        <v>65</v>
      </c>
      <c r="B27" s="56" t="s">
        <v>66</v>
      </c>
      <c r="C27" s="57" t="s">
        <v>25</v>
      </c>
      <c r="D27" s="58">
        <v>1406000</v>
      </c>
      <c r="E27" s="59"/>
      <c r="F27" s="60"/>
      <c r="G27" s="59"/>
      <c r="H27" s="59"/>
      <c r="I27" s="61">
        <f t="shared" si="2"/>
        <v>1406000</v>
      </c>
      <c r="J27" s="62" t="s">
        <v>26</v>
      </c>
      <c r="K27" s="63">
        <v>447991</v>
      </c>
      <c r="L27" s="63">
        <v>73436</v>
      </c>
      <c r="M27" s="64">
        <f t="shared" si="3"/>
        <v>0.3708584637268848</v>
      </c>
      <c r="N27" s="61">
        <f t="shared" si="4"/>
        <v>521427</v>
      </c>
      <c r="O27" s="61">
        <f t="shared" si="0"/>
        <v>521427</v>
      </c>
      <c r="P27" s="61">
        <f t="shared" si="5"/>
        <v>884573</v>
      </c>
      <c r="Q27" s="65">
        <f t="shared" si="6"/>
        <v>0.6291415362731152</v>
      </c>
      <c r="R27" s="66">
        <f t="shared" si="1"/>
        <v>521427</v>
      </c>
      <c r="S27" s="25"/>
      <c r="T27" s="26"/>
      <c r="V27" s="27"/>
    </row>
    <row r="28" spans="1:22" s="81" customFormat="1" ht="30.75" customHeight="1" thickBot="1" x14ac:dyDescent="0.35">
      <c r="A28" s="67" t="s">
        <v>67</v>
      </c>
      <c r="B28" s="68" t="s">
        <v>68</v>
      </c>
      <c r="C28" s="69">
        <v>1</v>
      </c>
      <c r="D28" s="70">
        <v>1759240</v>
      </c>
      <c r="E28" s="71"/>
      <c r="F28" s="72"/>
      <c r="G28" s="73">
        <f>SUM(G29)</f>
        <v>6000000</v>
      </c>
      <c r="H28" s="71"/>
      <c r="I28" s="73">
        <f t="shared" si="2"/>
        <v>7759240</v>
      </c>
      <c r="J28" s="74"/>
      <c r="K28" s="75">
        <v>1365702</v>
      </c>
      <c r="L28" s="75">
        <f>SUM(L30:L41)</f>
        <v>381650</v>
      </c>
      <c r="M28" s="76">
        <f t="shared" si="3"/>
        <v>0.22519628211010356</v>
      </c>
      <c r="N28" s="73">
        <f>K28+L28</f>
        <v>1747352</v>
      </c>
      <c r="O28" s="73">
        <f t="shared" si="0"/>
        <v>1747352</v>
      </c>
      <c r="P28" s="73">
        <f t="shared" si="5"/>
        <v>6011888</v>
      </c>
      <c r="Q28" s="77">
        <f t="shared" si="6"/>
        <v>0.77480371788989644</v>
      </c>
      <c r="R28" s="78">
        <f t="shared" si="1"/>
        <v>1747352</v>
      </c>
      <c r="S28" s="79"/>
      <c r="T28" s="80"/>
    </row>
    <row r="29" spans="1:22" s="95" customFormat="1" x14ac:dyDescent="0.3">
      <c r="A29" s="82" t="s">
        <v>67</v>
      </c>
      <c r="B29" s="83" t="s">
        <v>69</v>
      </c>
      <c r="C29" s="84"/>
      <c r="D29" s="85"/>
      <c r="E29" s="86"/>
      <c r="F29" s="87"/>
      <c r="G29" s="88">
        <v>6000000</v>
      </c>
      <c r="H29" s="86"/>
      <c r="I29" s="89"/>
      <c r="J29" s="90"/>
      <c r="K29" s="88"/>
      <c r="L29" s="88"/>
      <c r="M29" s="91"/>
      <c r="N29" s="89"/>
      <c r="O29" s="89"/>
      <c r="P29" s="89"/>
      <c r="Q29" s="92"/>
      <c r="R29" s="93"/>
      <c r="S29" s="94"/>
      <c r="T29" s="35"/>
    </row>
    <row r="30" spans="1:22" s="81" customFormat="1" ht="18.75" customHeight="1" x14ac:dyDescent="0.3">
      <c r="A30" s="96" t="s">
        <v>67</v>
      </c>
      <c r="B30" s="97" t="s">
        <v>70</v>
      </c>
      <c r="C30" s="98"/>
      <c r="D30" s="99"/>
      <c r="E30" s="35"/>
      <c r="F30" s="44"/>
      <c r="G30" s="35"/>
      <c r="H30" s="35"/>
      <c r="I30" s="34"/>
      <c r="J30" s="100">
        <v>2381302</v>
      </c>
      <c r="K30" s="36"/>
      <c r="L30" s="36">
        <v>27800</v>
      </c>
      <c r="M30" s="45"/>
      <c r="N30" s="34"/>
      <c r="O30" s="34"/>
      <c r="P30" s="34"/>
      <c r="Q30" s="101"/>
      <c r="R30" s="102"/>
      <c r="S30" s="79"/>
      <c r="T30" s="80"/>
    </row>
    <row r="31" spans="1:22" s="81" customFormat="1" ht="18.75" customHeight="1" x14ac:dyDescent="0.3">
      <c r="A31" s="96" t="s">
        <v>67</v>
      </c>
      <c r="B31" s="97" t="s">
        <v>71</v>
      </c>
      <c r="C31" s="98"/>
      <c r="D31" s="99"/>
      <c r="E31" s="35"/>
      <c r="F31" s="44"/>
      <c r="G31" s="35"/>
      <c r="H31" s="35"/>
      <c r="I31" s="34"/>
      <c r="J31" s="100">
        <v>2355001</v>
      </c>
      <c r="K31" s="36"/>
      <c r="L31" s="36">
        <v>38000</v>
      </c>
      <c r="M31" s="45"/>
      <c r="N31" s="34"/>
      <c r="O31" s="34"/>
      <c r="P31" s="34"/>
      <c r="Q31" s="101"/>
      <c r="R31" s="102"/>
      <c r="S31" s="79"/>
      <c r="T31" s="80"/>
    </row>
    <row r="32" spans="1:22" s="81" customFormat="1" ht="18.75" customHeight="1" x14ac:dyDescent="0.3">
      <c r="A32" s="96" t="s">
        <v>67</v>
      </c>
      <c r="B32" s="97" t="s">
        <v>72</v>
      </c>
      <c r="C32" s="98"/>
      <c r="D32" s="99"/>
      <c r="E32" s="35"/>
      <c r="F32" s="44"/>
      <c r="G32" s="35"/>
      <c r="H32" s="35"/>
      <c r="I32" s="34"/>
      <c r="J32" s="100">
        <v>3532101</v>
      </c>
      <c r="K32" s="36"/>
      <c r="L32" s="36">
        <f>6600</f>
        <v>6600</v>
      </c>
      <c r="M32" s="45"/>
      <c r="N32" s="34"/>
      <c r="O32" s="34"/>
      <c r="P32" s="34"/>
      <c r="Q32" s="101"/>
      <c r="R32" s="102"/>
      <c r="S32" s="79"/>
      <c r="T32" s="80"/>
    </row>
    <row r="33" spans="1:20" s="81" customFormat="1" ht="18.75" customHeight="1" x14ac:dyDescent="0.3">
      <c r="A33" s="96" t="s">
        <v>67</v>
      </c>
      <c r="B33" s="41" t="s">
        <v>73</v>
      </c>
      <c r="C33" s="98"/>
      <c r="D33" s="99"/>
      <c r="E33" s="35"/>
      <c r="F33" s="44"/>
      <c r="G33" s="35"/>
      <c r="H33" s="35"/>
      <c r="I33" s="34"/>
      <c r="J33" s="100">
        <v>2352001</v>
      </c>
      <c r="K33" s="36"/>
      <c r="L33" s="36">
        <v>6600</v>
      </c>
      <c r="M33" s="45"/>
      <c r="N33" s="34"/>
      <c r="O33" s="34"/>
      <c r="P33" s="34"/>
      <c r="Q33" s="101"/>
      <c r="R33" s="102"/>
      <c r="S33" s="79"/>
      <c r="T33" s="80"/>
    </row>
    <row r="34" spans="1:20" s="81" customFormat="1" ht="18.75" customHeight="1" x14ac:dyDescent="0.3">
      <c r="A34" s="96" t="s">
        <v>67</v>
      </c>
      <c r="B34" s="41" t="s">
        <v>74</v>
      </c>
      <c r="C34" s="98"/>
      <c r="D34" s="99"/>
      <c r="E34" s="35"/>
      <c r="F34" s="44"/>
      <c r="G34" s="35"/>
      <c r="H34" s="35"/>
      <c r="I34" s="34"/>
      <c r="J34" s="100">
        <v>3623002</v>
      </c>
      <c r="K34" s="36"/>
      <c r="L34" s="36">
        <f>50100+5650+4500</f>
        <v>60250</v>
      </c>
      <c r="M34" s="45"/>
      <c r="N34" s="34"/>
      <c r="O34" s="34"/>
      <c r="P34" s="34"/>
      <c r="Q34" s="101"/>
      <c r="R34" s="102"/>
      <c r="S34" s="79"/>
      <c r="T34" s="80"/>
    </row>
    <row r="35" spans="1:20" s="81" customFormat="1" ht="18.75" customHeight="1" x14ac:dyDescent="0.3">
      <c r="A35" s="96" t="s">
        <v>67</v>
      </c>
      <c r="B35" s="41" t="s">
        <v>75</v>
      </c>
      <c r="C35" s="98"/>
      <c r="D35" s="99"/>
      <c r="E35" s="35"/>
      <c r="F35" s="44"/>
      <c r="G35" s="35"/>
      <c r="H35" s="35"/>
      <c r="I35" s="34"/>
      <c r="J35" s="100">
        <v>3219305</v>
      </c>
      <c r="K35" s="36"/>
      <c r="L35" s="36">
        <f>4800+37200+4700</f>
        <v>46700</v>
      </c>
      <c r="M35" s="45"/>
      <c r="N35" s="34"/>
      <c r="O35" s="34"/>
      <c r="P35" s="34"/>
      <c r="Q35" s="101"/>
      <c r="R35" s="102"/>
      <c r="S35" s="79"/>
      <c r="T35" s="80"/>
    </row>
    <row r="36" spans="1:20" s="81" customFormat="1" ht="18.75" customHeight="1" x14ac:dyDescent="0.3">
      <c r="A36" s="96" t="s">
        <v>67</v>
      </c>
      <c r="B36" s="41" t="s">
        <v>76</v>
      </c>
      <c r="C36" s="98"/>
      <c r="D36" s="99"/>
      <c r="E36" s="35"/>
      <c r="F36" s="44"/>
      <c r="G36" s="35"/>
      <c r="H36" s="35"/>
      <c r="I36" s="34"/>
      <c r="J36" s="100">
        <v>2732007</v>
      </c>
      <c r="K36" s="36"/>
      <c r="L36" s="36">
        <f>5500</f>
        <v>5500</v>
      </c>
      <c r="M36" s="45"/>
      <c r="N36" s="34"/>
      <c r="O36" s="34"/>
      <c r="P36" s="34"/>
      <c r="Q36" s="101"/>
      <c r="R36" s="102"/>
      <c r="S36" s="79"/>
      <c r="T36" s="80"/>
    </row>
    <row r="37" spans="1:20" s="81" customFormat="1" ht="18.75" customHeight="1" x14ac:dyDescent="0.3">
      <c r="A37" s="96" t="s">
        <v>67</v>
      </c>
      <c r="B37" s="41" t="s">
        <v>77</v>
      </c>
      <c r="C37" s="98"/>
      <c r="D37" s="99"/>
      <c r="E37" s="35"/>
      <c r="F37" s="44"/>
      <c r="G37" s="35"/>
      <c r="H37" s="35"/>
      <c r="I37" s="34"/>
      <c r="J37" s="100">
        <v>3219302</v>
      </c>
      <c r="K37" s="36"/>
      <c r="L37" s="36">
        <f>19000</f>
        <v>19000</v>
      </c>
      <c r="M37" s="45"/>
      <c r="N37" s="34"/>
      <c r="O37" s="34"/>
      <c r="P37" s="34"/>
      <c r="Q37" s="101"/>
      <c r="R37" s="102"/>
      <c r="S37" s="79"/>
      <c r="T37" s="80"/>
    </row>
    <row r="38" spans="1:20" s="81" customFormat="1" ht="18.75" customHeight="1" x14ac:dyDescent="0.3">
      <c r="A38" s="96" t="s">
        <v>67</v>
      </c>
      <c r="B38" s="41" t="s">
        <v>78</v>
      </c>
      <c r="C38" s="98"/>
      <c r="D38" s="99"/>
      <c r="E38" s="35"/>
      <c r="F38" s="44"/>
      <c r="G38" s="35"/>
      <c r="H38" s="35"/>
      <c r="I38" s="34"/>
      <c r="J38" s="100">
        <v>3532210</v>
      </c>
      <c r="K38" s="36"/>
      <c r="L38" s="36">
        <f>30000+11600+5000+30000</f>
        <v>76600</v>
      </c>
      <c r="M38" s="45"/>
      <c r="N38" s="34"/>
      <c r="O38" s="34"/>
      <c r="P38" s="34"/>
      <c r="Q38" s="101"/>
      <c r="R38" s="102"/>
      <c r="S38" s="79"/>
      <c r="T38" s="80"/>
    </row>
    <row r="39" spans="1:20" s="81" customFormat="1" ht="18.75" customHeight="1" x14ac:dyDescent="0.3">
      <c r="A39" s="96" t="s">
        <v>67</v>
      </c>
      <c r="B39" s="41" t="s">
        <v>79</v>
      </c>
      <c r="C39" s="98"/>
      <c r="D39" s="99"/>
      <c r="E39" s="35"/>
      <c r="F39" s="44"/>
      <c r="G39" s="35"/>
      <c r="H39" s="35"/>
      <c r="I39" s="34"/>
      <c r="J39" s="100">
        <v>3532201</v>
      </c>
      <c r="K39" s="36"/>
      <c r="L39" s="36">
        <f>14800+61000</f>
        <v>75800</v>
      </c>
      <c r="M39" s="45"/>
      <c r="N39" s="34"/>
      <c r="O39" s="34"/>
      <c r="P39" s="34"/>
      <c r="Q39" s="101"/>
      <c r="R39" s="102"/>
      <c r="S39" s="79"/>
      <c r="T39" s="80"/>
    </row>
    <row r="40" spans="1:20" s="81" customFormat="1" ht="18.75" customHeight="1" x14ac:dyDescent="0.3">
      <c r="A40" s="96" t="s">
        <v>67</v>
      </c>
      <c r="B40" s="41" t="s">
        <v>80</v>
      </c>
      <c r="C40" s="98"/>
      <c r="D40" s="99"/>
      <c r="E40" s="35"/>
      <c r="F40" s="44"/>
      <c r="G40" s="35"/>
      <c r="H40" s="35"/>
      <c r="I40" s="34"/>
      <c r="J40" s="100">
        <v>3641001</v>
      </c>
      <c r="K40" s="36"/>
      <c r="L40" s="36">
        <f>10000+4900</f>
        <v>14900</v>
      </c>
      <c r="M40" s="45"/>
      <c r="N40" s="34"/>
      <c r="O40" s="34"/>
      <c r="P40" s="34"/>
      <c r="Q40" s="101"/>
      <c r="R40" s="102"/>
      <c r="S40" s="79"/>
      <c r="T40" s="80"/>
    </row>
    <row r="41" spans="1:20" s="81" customFormat="1" ht="18.75" customHeight="1" thickBot="1" x14ac:dyDescent="0.35">
      <c r="A41" s="96" t="s">
        <v>67</v>
      </c>
      <c r="B41" s="97" t="s">
        <v>81</v>
      </c>
      <c r="C41" s="98"/>
      <c r="D41" s="99"/>
      <c r="E41" s="35"/>
      <c r="F41" s="44"/>
      <c r="G41" s="35"/>
      <c r="H41" s="35"/>
      <c r="I41" s="34"/>
      <c r="J41" s="100">
        <v>2391102</v>
      </c>
      <c r="K41" s="36"/>
      <c r="L41" s="36">
        <v>3900</v>
      </c>
      <c r="M41" s="45"/>
      <c r="N41" s="34"/>
      <c r="O41" s="34"/>
      <c r="P41" s="34"/>
      <c r="Q41" s="101"/>
      <c r="R41" s="102"/>
      <c r="S41" s="79"/>
      <c r="T41" s="80"/>
    </row>
    <row r="42" spans="1:20" s="81" customFormat="1" ht="18" customHeight="1" thickBot="1" x14ac:dyDescent="0.35">
      <c r="A42" s="103" t="s">
        <v>82</v>
      </c>
      <c r="B42" s="104" t="s">
        <v>83</v>
      </c>
      <c r="C42" s="105">
        <v>1</v>
      </c>
      <c r="D42" s="106">
        <v>10031128</v>
      </c>
      <c r="E42" s="107"/>
      <c r="F42" s="108"/>
      <c r="G42" s="109">
        <f>SUM(G43)</f>
        <v>4500000</v>
      </c>
      <c r="H42" s="107"/>
      <c r="I42" s="109">
        <f t="shared" si="2"/>
        <v>14531128</v>
      </c>
      <c r="J42" s="110"/>
      <c r="K42" s="111">
        <v>6301007</v>
      </c>
      <c r="L42" s="111">
        <f>SUM(L43:L49)</f>
        <v>2518963</v>
      </c>
      <c r="M42" s="112">
        <f t="shared" si="3"/>
        <v>0.60697077336322414</v>
      </c>
      <c r="N42" s="109">
        <f t="shared" si="4"/>
        <v>8819970</v>
      </c>
      <c r="O42" s="109">
        <f t="shared" si="0"/>
        <v>8819970</v>
      </c>
      <c r="P42" s="109">
        <f t="shared" si="5"/>
        <v>5711158</v>
      </c>
      <c r="Q42" s="113">
        <f t="shared" si="6"/>
        <v>0.39302922663677592</v>
      </c>
      <c r="R42" s="114">
        <f t="shared" si="1"/>
        <v>8819970</v>
      </c>
      <c r="S42" s="79"/>
      <c r="T42" s="80"/>
    </row>
    <row r="43" spans="1:20" s="95" customFormat="1" ht="18" customHeight="1" x14ac:dyDescent="0.3">
      <c r="A43" s="115" t="s">
        <v>82</v>
      </c>
      <c r="B43" s="116" t="s">
        <v>69</v>
      </c>
      <c r="C43" s="117"/>
      <c r="D43" s="17"/>
      <c r="E43" s="18"/>
      <c r="F43" s="19"/>
      <c r="G43" s="21">
        <v>4500000</v>
      </c>
      <c r="H43" s="18"/>
      <c r="I43" s="118"/>
      <c r="J43" s="119"/>
      <c r="K43" s="21"/>
      <c r="L43" s="21"/>
      <c r="M43" s="22"/>
      <c r="N43" s="118"/>
      <c r="O43" s="118"/>
      <c r="P43" s="118"/>
      <c r="Q43" s="120"/>
      <c r="R43" s="121"/>
      <c r="S43" s="94"/>
      <c r="T43" s="35"/>
    </row>
    <row r="44" spans="1:20" s="95" customFormat="1" ht="18" customHeight="1" x14ac:dyDescent="0.3">
      <c r="A44" s="122" t="s">
        <v>82</v>
      </c>
      <c r="B44" s="41" t="s">
        <v>84</v>
      </c>
      <c r="C44" s="98"/>
      <c r="D44" s="43"/>
      <c r="E44" s="35"/>
      <c r="F44" s="44"/>
      <c r="G44" s="36"/>
      <c r="H44" s="35"/>
      <c r="I44" s="34"/>
      <c r="J44" s="100">
        <v>3699006</v>
      </c>
      <c r="K44" s="36"/>
      <c r="L44" s="36">
        <v>14000</v>
      </c>
      <c r="M44" s="45"/>
      <c r="N44" s="34"/>
      <c r="O44" s="34"/>
      <c r="P44" s="34"/>
      <c r="Q44" s="39"/>
      <c r="R44" s="40"/>
      <c r="S44" s="94"/>
      <c r="T44" s="35"/>
    </row>
    <row r="45" spans="1:20" s="95" customFormat="1" ht="18" customHeight="1" x14ac:dyDescent="0.3">
      <c r="A45" s="122" t="s">
        <v>82</v>
      </c>
      <c r="B45" s="97" t="s">
        <v>85</v>
      </c>
      <c r="C45" s="98"/>
      <c r="D45" s="43"/>
      <c r="E45" s="35"/>
      <c r="F45" s="44"/>
      <c r="G45" s="36"/>
      <c r="H45" s="35"/>
      <c r="I45" s="34"/>
      <c r="J45" s="100">
        <v>3891102</v>
      </c>
      <c r="K45" s="36"/>
      <c r="L45" s="36">
        <f>18346+6552</f>
        <v>24898</v>
      </c>
      <c r="M45" s="45"/>
      <c r="N45" s="34"/>
      <c r="O45" s="34"/>
      <c r="P45" s="34"/>
      <c r="Q45" s="39"/>
      <c r="R45" s="40"/>
      <c r="S45" s="94"/>
      <c r="T45" s="35"/>
    </row>
    <row r="46" spans="1:20" s="95" customFormat="1" ht="18" customHeight="1" x14ac:dyDescent="0.3">
      <c r="A46" s="122" t="s">
        <v>82</v>
      </c>
      <c r="B46" s="97" t="s">
        <v>86</v>
      </c>
      <c r="C46" s="98"/>
      <c r="D46" s="43"/>
      <c r="E46" s="35"/>
      <c r="F46" s="44"/>
      <c r="G46" s="36"/>
      <c r="H46" s="35"/>
      <c r="I46" s="34"/>
      <c r="J46" s="100">
        <v>4299502</v>
      </c>
      <c r="K46" s="36"/>
      <c r="L46" s="36">
        <v>7252</v>
      </c>
      <c r="M46" s="45"/>
      <c r="N46" s="34"/>
      <c r="O46" s="34"/>
      <c r="P46" s="34"/>
      <c r="Q46" s="39"/>
      <c r="R46" s="40"/>
      <c r="S46" s="94"/>
      <c r="T46" s="35"/>
    </row>
    <row r="47" spans="1:20" s="95" customFormat="1" ht="18" customHeight="1" x14ac:dyDescent="0.3">
      <c r="A47" s="122" t="s">
        <v>82</v>
      </c>
      <c r="B47" s="41" t="s">
        <v>87</v>
      </c>
      <c r="C47" s="98"/>
      <c r="D47" s="43"/>
      <c r="E47" s="35"/>
      <c r="F47" s="44"/>
      <c r="G47" s="36"/>
      <c r="H47" s="35"/>
      <c r="I47" s="34"/>
      <c r="J47" s="100">
        <v>321899</v>
      </c>
      <c r="K47" s="36"/>
      <c r="L47" s="36">
        <v>176400</v>
      </c>
      <c r="M47" s="45"/>
      <c r="N47" s="34"/>
      <c r="O47" s="34"/>
      <c r="P47" s="34"/>
      <c r="Q47" s="39"/>
      <c r="R47" s="40"/>
      <c r="S47" s="94"/>
      <c r="T47" s="35"/>
    </row>
    <row r="48" spans="1:20" s="95" customFormat="1" ht="18" customHeight="1" x14ac:dyDescent="0.3">
      <c r="A48" s="122" t="s">
        <v>82</v>
      </c>
      <c r="B48" s="97" t="s">
        <v>88</v>
      </c>
      <c r="C48" s="98"/>
      <c r="D48" s="43"/>
      <c r="E48" s="35"/>
      <c r="F48" s="44"/>
      <c r="G48" s="36"/>
      <c r="H48" s="35"/>
      <c r="I48" s="34"/>
      <c r="J48" s="100">
        <v>3463901</v>
      </c>
      <c r="K48" s="36"/>
      <c r="L48" s="36">
        <v>70000</v>
      </c>
      <c r="M48" s="45"/>
      <c r="N48" s="34"/>
      <c r="O48" s="34"/>
      <c r="P48" s="34"/>
      <c r="Q48" s="39"/>
      <c r="R48" s="40"/>
      <c r="S48" s="94"/>
      <c r="T48" s="35"/>
    </row>
    <row r="49" spans="1:20" s="95" customFormat="1" ht="18" customHeight="1" thickBot="1" x14ac:dyDescent="0.35">
      <c r="A49" s="123" t="s">
        <v>82</v>
      </c>
      <c r="B49" s="124" t="s">
        <v>89</v>
      </c>
      <c r="C49" s="125"/>
      <c r="D49" s="126"/>
      <c r="E49" s="59"/>
      <c r="F49" s="60"/>
      <c r="G49" s="63"/>
      <c r="H49" s="59"/>
      <c r="I49" s="61"/>
      <c r="J49" s="62">
        <v>3331101</v>
      </c>
      <c r="K49" s="63"/>
      <c r="L49" s="63">
        <f>1068854+1157559</f>
        <v>2226413</v>
      </c>
      <c r="M49" s="64"/>
      <c r="N49" s="61"/>
      <c r="O49" s="61"/>
      <c r="P49" s="61"/>
      <c r="Q49" s="65"/>
      <c r="R49" s="127"/>
      <c r="S49" s="94"/>
      <c r="T49" s="35"/>
    </row>
    <row r="50" spans="1:20" s="81" customFormat="1" ht="17.25" thickBot="1" x14ac:dyDescent="0.35">
      <c r="A50" s="128" t="s">
        <v>90</v>
      </c>
      <c r="B50" s="129" t="s">
        <v>91</v>
      </c>
      <c r="C50" s="69">
        <v>1</v>
      </c>
      <c r="D50" s="130">
        <v>23209632.333333332</v>
      </c>
      <c r="E50" s="71"/>
      <c r="F50" s="72"/>
      <c r="G50" s="71"/>
      <c r="H50" s="71"/>
      <c r="I50" s="73">
        <f t="shared" si="2"/>
        <v>23209632.333333332</v>
      </c>
      <c r="J50" s="74"/>
      <c r="K50" s="75">
        <v>1505497</v>
      </c>
      <c r="L50" s="75">
        <f>SUM(L51:L54)</f>
        <v>589800</v>
      </c>
      <c r="M50" s="76">
        <f t="shared" si="3"/>
        <v>9.0277044026706332E-2</v>
      </c>
      <c r="N50" s="73">
        <f t="shared" si="4"/>
        <v>2095297</v>
      </c>
      <c r="O50" s="73">
        <f t="shared" si="0"/>
        <v>2095297</v>
      </c>
      <c r="P50" s="73">
        <f t="shared" si="5"/>
        <v>21114335.333333332</v>
      </c>
      <c r="Q50" s="77">
        <f t="shared" si="6"/>
        <v>0.90972295597329367</v>
      </c>
      <c r="R50" s="78">
        <f t="shared" si="1"/>
        <v>2095297</v>
      </c>
      <c r="S50" s="79"/>
      <c r="T50" s="80"/>
    </row>
    <row r="51" spans="1:20" s="95" customFormat="1" x14ac:dyDescent="0.3">
      <c r="A51" s="131" t="s">
        <v>90</v>
      </c>
      <c r="B51" s="132" t="s">
        <v>92</v>
      </c>
      <c r="C51" s="84"/>
      <c r="D51" s="133"/>
      <c r="E51" s="86"/>
      <c r="F51" s="87"/>
      <c r="G51" s="86"/>
      <c r="H51" s="86"/>
      <c r="I51" s="89"/>
      <c r="J51" s="90">
        <v>47550</v>
      </c>
      <c r="K51" s="88"/>
      <c r="L51" s="88">
        <v>410000</v>
      </c>
      <c r="M51" s="91"/>
      <c r="N51" s="89"/>
      <c r="O51" s="89"/>
      <c r="P51" s="89"/>
      <c r="Q51" s="134"/>
      <c r="R51" s="24"/>
      <c r="S51" s="94"/>
      <c r="T51" s="35"/>
    </row>
    <row r="52" spans="1:20" s="95" customFormat="1" x14ac:dyDescent="0.3">
      <c r="A52" s="131" t="s">
        <v>90</v>
      </c>
      <c r="B52" s="135" t="s">
        <v>93</v>
      </c>
      <c r="C52" s="98"/>
      <c r="D52" s="43"/>
      <c r="E52" s="35"/>
      <c r="F52" s="44"/>
      <c r="G52" s="35"/>
      <c r="H52" s="35"/>
      <c r="I52" s="34"/>
      <c r="J52" s="100">
        <v>4291231</v>
      </c>
      <c r="K52" s="36"/>
      <c r="L52" s="36">
        <f>3200+1800</f>
        <v>5000</v>
      </c>
      <c r="M52" s="45"/>
      <c r="N52" s="34"/>
      <c r="O52" s="34"/>
      <c r="P52" s="34"/>
      <c r="Q52" s="39"/>
      <c r="R52" s="40"/>
      <c r="S52" s="94"/>
      <c r="T52" s="35"/>
    </row>
    <row r="53" spans="1:20" s="95" customFormat="1" x14ac:dyDescent="0.3">
      <c r="A53" s="131" t="s">
        <v>90</v>
      </c>
      <c r="B53" s="97" t="s">
        <v>94</v>
      </c>
      <c r="C53" s="98"/>
      <c r="D53" s="43"/>
      <c r="E53" s="35"/>
      <c r="F53" s="44"/>
      <c r="G53" s="35"/>
      <c r="H53" s="35"/>
      <c r="I53" s="34"/>
      <c r="J53" s="100">
        <v>4754001</v>
      </c>
      <c r="K53" s="36"/>
      <c r="L53" s="36">
        <v>164000</v>
      </c>
      <c r="M53" s="45"/>
      <c r="N53" s="34"/>
      <c r="O53" s="34"/>
      <c r="P53" s="34"/>
      <c r="Q53" s="39"/>
      <c r="R53" s="40"/>
      <c r="S53" s="94"/>
      <c r="T53" s="35"/>
    </row>
    <row r="54" spans="1:20" s="95" customFormat="1" ht="17.25" thickBot="1" x14ac:dyDescent="0.35">
      <c r="A54" s="136" t="s">
        <v>90</v>
      </c>
      <c r="B54" s="137" t="s">
        <v>95</v>
      </c>
      <c r="C54" s="125"/>
      <c r="D54" s="126"/>
      <c r="E54" s="59"/>
      <c r="F54" s="60"/>
      <c r="G54" s="59"/>
      <c r="H54" s="59"/>
      <c r="I54" s="61"/>
      <c r="J54" s="62">
        <v>4641007</v>
      </c>
      <c r="K54" s="63"/>
      <c r="L54" s="63">
        <v>10800</v>
      </c>
      <c r="M54" s="64"/>
      <c r="N54" s="61"/>
      <c r="O54" s="61"/>
      <c r="P54" s="61"/>
      <c r="Q54" s="65"/>
      <c r="R54" s="66"/>
      <c r="S54" s="94"/>
      <c r="T54" s="35"/>
    </row>
    <row r="55" spans="1:20" s="81" customFormat="1" ht="42.75" customHeight="1" thickBot="1" x14ac:dyDescent="0.35">
      <c r="A55" s="138" t="s">
        <v>96</v>
      </c>
      <c r="B55" s="139" t="s">
        <v>97</v>
      </c>
      <c r="C55" s="140" t="s">
        <v>25</v>
      </c>
      <c r="D55" s="70">
        <v>38900000</v>
      </c>
      <c r="E55" s="71"/>
      <c r="F55" s="72"/>
      <c r="G55" s="71"/>
      <c r="H55" s="71"/>
      <c r="I55" s="141">
        <f t="shared" si="2"/>
        <v>38900000</v>
      </c>
      <c r="J55" s="142"/>
      <c r="K55" s="143">
        <v>9230200</v>
      </c>
      <c r="L55" s="143">
        <f>SUM(L56:L58)</f>
        <v>896400</v>
      </c>
      <c r="M55" s="144">
        <f t="shared" si="3"/>
        <v>0.26032390745501283</v>
      </c>
      <c r="N55" s="141">
        <f t="shared" si="4"/>
        <v>10126600</v>
      </c>
      <c r="O55" s="141">
        <f t="shared" si="0"/>
        <v>10126600</v>
      </c>
      <c r="P55" s="141">
        <f t="shared" si="5"/>
        <v>28773400</v>
      </c>
      <c r="Q55" s="145">
        <f t="shared" si="6"/>
        <v>0.73967609254498712</v>
      </c>
      <c r="R55" s="146">
        <f t="shared" si="1"/>
        <v>10126600</v>
      </c>
      <c r="S55" s="79"/>
      <c r="T55" s="80"/>
    </row>
    <row r="56" spans="1:20" s="95" customFormat="1" ht="23.25" customHeight="1" x14ac:dyDescent="0.3">
      <c r="A56" s="147" t="s">
        <v>98</v>
      </c>
      <c r="B56" s="148" t="s">
        <v>99</v>
      </c>
      <c r="C56" s="30"/>
      <c r="D56" s="149"/>
      <c r="E56" s="32"/>
      <c r="F56" s="33"/>
      <c r="G56" s="32"/>
      <c r="H56" s="32"/>
      <c r="I56" s="46"/>
      <c r="J56" s="150">
        <v>65116</v>
      </c>
      <c r="K56" s="37"/>
      <c r="L56" s="37">
        <f>30500+29200</f>
        <v>59700</v>
      </c>
      <c r="M56" s="38"/>
      <c r="N56" s="46"/>
      <c r="O56" s="46"/>
      <c r="P56" s="46"/>
      <c r="Q56" s="151"/>
      <c r="R56" s="152"/>
      <c r="S56" s="94"/>
      <c r="T56" s="35"/>
    </row>
    <row r="57" spans="1:20" s="95" customFormat="1" ht="18" customHeight="1" x14ac:dyDescent="0.3">
      <c r="A57" s="28" t="s">
        <v>100</v>
      </c>
      <c r="B57" s="153" t="s">
        <v>101</v>
      </c>
      <c r="C57" s="154"/>
      <c r="D57" s="85"/>
      <c r="E57" s="86"/>
      <c r="F57" s="87"/>
      <c r="G57" s="86"/>
      <c r="H57" s="86"/>
      <c r="I57" s="89"/>
      <c r="J57" s="100">
        <v>17100</v>
      </c>
      <c r="K57" s="88"/>
      <c r="L57" s="88">
        <v>786400</v>
      </c>
      <c r="M57" s="91"/>
      <c r="N57" s="89"/>
      <c r="O57" s="89"/>
      <c r="P57" s="89"/>
      <c r="Q57" s="92"/>
      <c r="R57" s="93"/>
      <c r="S57" s="94"/>
      <c r="T57" s="35"/>
    </row>
    <row r="58" spans="1:20" s="95" customFormat="1" ht="18.75" customHeight="1" thickBot="1" x14ac:dyDescent="0.35">
      <c r="A58" s="55" t="s">
        <v>102</v>
      </c>
      <c r="B58" s="155" t="s">
        <v>103</v>
      </c>
      <c r="C58" s="57"/>
      <c r="D58" s="58"/>
      <c r="E58" s="59"/>
      <c r="F58" s="60"/>
      <c r="G58" s="59"/>
      <c r="H58" s="59"/>
      <c r="I58" s="61"/>
      <c r="J58" s="62">
        <v>94110</v>
      </c>
      <c r="K58" s="63"/>
      <c r="L58" s="63">
        <f>50300</f>
        <v>50300</v>
      </c>
      <c r="M58" s="64"/>
      <c r="N58" s="61"/>
      <c r="O58" s="61"/>
      <c r="P58" s="61"/>
      <c r="Q58" s="156"/>
      <c r="R58" s="157"/>
      <c r="S58" s="94"/>
      <c r="T58" s="35"/>
    </row>
    <row r="59" spans="1:20" s="81" customFormat="1" ht="28.5" customHeight="1" thickBot="1" x14ac:dyDescent="0.35">
      <c r="A59" s="158" t="s">
        <v>104</v>
      </c>
      <c r="B59" s="159" t="s">
        <v>105</v>
      </c>
      <c r="C59" s="160" t="s">
        <v>25</v>
      </c>
      <c r="D59" s="161">
        <v>15000000</v>
      </c>
      <c r="E59" s="162"/>
      <c r="F59" s="163"/>
      <c r="G59" s="162"/>
      <c r="H59" s="162"/>
      <c r="I59" s="141">
        <f t="shared" si="2"/>
        <v>15000000</v>
      </c>
      <c r="J59" s="142">
        <v>71434</v>
      </c>
      <c r="K59" s="143">
        <v>3777401</v>
      </c>
      <c r="L59" s="143">
        <v>0</v>
      </c>
      <c r="M59" s="144">
        <f t="shared" si="3"/>
        <v>0.25182673333333333</v>
      </c>
      <c r="N59" s="141">
        <f t="shared" si="4"/>
        <v>3777401</v>
      </c>
      <c r="O59" s="141">
        <f t="shared" si="0"/>
        <v>3777401</v>
      </c>
      <c r="P59" s="141">
        <f t="shared" si="5"/>
        <v>11222599</v>
      </c>
      <c r="Q59" s="145">
        <f t="shared" si="6"/>
        <v>0.74817326666666661</v>
      </c>
      <c r="R59" s="146">
        <f t="shared" si="1"/>
        <v>3777401</v>
      </c>
      <c r="S59" s="79"/>
      <c r="T59" s="80"/>
    </row>
    <row r="60" spans="1:20" s="81" customFormat="1" ht="16.5" customHeight="1" thickBot="1" x14ac:dyDescent="0.35">
      <c r="A60" s="138" t="s">
        <v>106</v>
      </c>
      <c r="B60" s="164" t="s">
        <v>107</v>
      </c>
      <c r="C60" s="165">
        <v>1</v>
      </c>
      <c r="D60" s="70">
        <v>172550000</v>
      </c>
      <c r="E60" s="162"/>
      <c r="F60" s="163"/>
      <c r="G60" s="143">
        <f>SUM(G61)</f>
        <v>0</v>
      </c>
      <c r="H60" s="143">
        <f>SUM(H61:H73)</f>
        <v>16500000</v>
      </c>
      <c r="I60" s="141">
        <f t="shared" si="2"/>
        <v>156050000</v>
      </c>
      <c r="J60" s="162"/>
      <c r="K60" s="166">
        <v>52506627</v>
      </c>
      <c r="L60" s="167">
        <f>SUM(L62:L73)</f>
        <v>25403977</v>
      </c>
      <c r="M60" s="144">
        <f>N60/I60</f>
        <v>0.49926692726690164</v>
      </c>
      <c r="N60" s="141">
        <f t="shared" si="4"/>
        <v>77910604</v>
      </c>
      <c r="O60" s="141">
        <f t="shared" si="0"/>
        <v>77910604</v>
      </c>
      <c r="P60" s="141">
        <f t="shared" si="5"/>
        <v>78139396</v>
      </c>
      <c r="Q60" s="145">
        <f t="shared" si="6"/>
        <v>0.50073307273309842</v>
      </c>
      <c r="R60" s="168">
        <f t="shared" si="1"/>
        <v>77910604</v>
      </c>
      <c r="S60" s="79"/>
      <c r="T60" s="80"/>
    </row>
    <row r="61" spans="1:20" s="81" customFormat="1" ht="16.5" customHeight="1" x14ac:dyDescent="0.3">
      <c r="A61" s="169" t="s">
        <v>106</v>
      </c>
      <c r="B61" s="170" t="s">
        <v>69</v>
      </c>
      <c r="C61" s="171"/>
      <c r="D61" s="172"/>
      <c r="E61" s="173"/>
      <c r="F61" s="174"/>
      <c r="G61" s="175"/>
      <c r="H61" s="175">
        <v>16500000</v>
      </c>
      <c r="I61" s="176"/>
      <c r="J61" s="173"/>
      <c r="K61" s="177"/>
      <c r="L61" s="177"/>
      <c r="M61" s="178"/>
      <c r="N61" s="176"/>
      <c r="O61" s="176"/>
      <c r="P61" s="176"/>
      <c r="Q61" s="179"/>
      <c r="R61" s="180"/>
      <c r="S61" s="79"/>
      <c r="T61" s="80"/>
    </row>
    <row r="62" spans="1:20" s="81" customFormat="1" ht="18.75" customHeight="1" x14ac:dyDescent="0.3">
      <c r="A62" s="181" t="s">
        <v>106</v>
      </c>
      <c r="B62" s="97" t="s">
        <v>108</v>
      </c>
      <c r="C62" s="51"/>
      <c r="D62" s="182"/>
      <c r="E62" s="80"/>
      <c r="F62" s="183"/>
      <c r="G62" s="80"/>
      <c r="H62" s="80"/>
      <c r="I62" s="184"/>
      <c r="J62" s="100">
        <v>3254001</v>
      </c>
      <c r="K62" s="36"/>
      <c r="L62" s="36">
        <v>112000</v>
      </c>
      <c r="M62" s="185"/>
      <c r="N62" s="184"/>
      <c r="O62" s="184"/>
      <c r="P62" s="184"/>
      <c r="Q62" s="186"/>
      <c r="R62" s="187"/>
      <c r="S62" s="79"/>
      <c r="T62" s="80"/>
    </row>
    <row r="63" spans="1:20" s="81" customFormat="1" ht="18.75" customHeight="1" x14ac:dyDescent="0.3">
      <c r="A63" s="181" t="s">
        <v>106</v>
      </c>
      <c r="B63" s="97" t="s">
        <v>109</v>
      </c>
      <c r="C63" s="51"/>
      <c r="D63" s="182"/>
      <c r="E63" s="80"/>
      <c r="F63" s="183"/>
      <c r="G63" s="80"/>
      <c r="H63" s="80"/>
      <c r="I63" s="184"/>
      <c r="J63" s="100">
        <v>82199</v>
      </c>
      <c r="K63" s="36"/>
      <c r="L63" s="36">
        <f>4500000+4500000</f>
        <v>9000000</v>
      </c>
      <c r="M63" s="185"/>
      <c r="N63" s="184"/>
      <c r="O63" s="184"/>
      <c r="P63" s="184"/>
      <c r="Q63" s="186"/>
      <c r="R63" s="187"/>
      <c r="S63" s="79"/>
      <c r="T63" s="80"/>
    </row>
    <row r="64" spans="1:20" s="81" customFormat="1" ht="18.75" customHeight="1" x14ac:dyDescent="0.3">
      <c r="A64" s="181" t="s">
        <v>106</v>
      </c>
      <c r="B64" s="97" t="s">
        <v>110</v>
      </c>
      <c r="C64" s="51"/>
      <c r="D64" s="182"/>
      <c r="E64" s="80"/>
      <c r="F64" s="183"/>
      <c r="G64" s="80"/>
      <c r="H64" s="80"/>
      <c r="I64" s="184"/>
      <c r="J64" s="100">
        <v>82221</v>
      </c>
      <c r="K64" s="36"/>
      <c r="L64" s="36">
        <f>6000000+6000000+2500000</f>
        <v>14500000</v>
      </c>
      <c r="M64" s="185"/>
      <c r="N64" s="184"/>
      <c r="O64" s="184"/>
      <c r="P64" s="184"/>
      <c r="Q64" s="186"/>
      <c r="R64" s="187"/>
      <c r="S64" s="79"/>
      <c r="T64" s="80"/>
    </row>
    <row r="65" spans="1:20" s="81" customFormat="1" ht="18.75" customHeight="1" x14ac:dyDescent="0.3">
      <c r="A65" s="181" t="s">
        <v>106</v>
      </c>
      <c r="B65" s="97" t="s">
        <v>111</v>
      </c>
      <c r="C65" s="51"/>
      <c r="D65" s="182"/>
      <c r="E65" s="80"/>
      <c r="F65" s="183"/>
      <c r="G65" s="80"/>
      <c r="H65" s="80"/>
      <c r="I65" s="184"/>
      <c r="J65" s="100">
        <v>84341</v>
      </c>
      <c r="K65" s="36"/>
      <c r="L65" s="36">
        <v>50000</v>
      </c>
      <c r="M65" s="185"/>
      <c r="N65" s="184"/>
      <c r="O65" s="184"/>
      <c r="P65" s="184"/>
      <c r="Q65" s="186"/>
      <c r="R65" s="187"/>
      <c r="S65" s="79"/>
      <c r="T65" s="80"/>
    </row>
    <row r="66" spans="1:20" s="81" customFormat="1" ht="18.75" customHeight="1" x14ac:dyDescent="0.3">
      <c r="A66" s="181" t="s">
        <v>106</v>
      </c>
      <c r="B66" s="97" t="s">
        <v>112</v>
      </c>
      <c r="C66" s="51"/>
      <c r="D66" s="182"/>
      <c r="E66" s="80"/>
      <c r="F66" s="183"/>
      <c r="G66" s="80"/>
      <c r="H66" s="80"/>
      <c r="I66" s="184"/>
      <c r="J66" s="100">
        <v>54730</v>
      </c>
      <c r="K66" s="36"/>
      <c r="L66" s="36">
        <v>260000</v>
      </c>
      <c r="M66" s="185"/>
      <c r="N66" s="184"/>
      <c r="O66" s="184"/>
      <c r="P66" s="184"/>
      <c r="Q66" s="186"/>
      <c r="R66" s="187"/>
      <c r="S66" s="79"/>
      <c r="T66" s="80"/>
    </row>
    <row r="67" spans="1:20" s="81" customFormat="1" ht="18.75" customHeight="1" x14ac:dyDescent="0.3">
      <c r="A67" s="181" t="s">
        <v>106</v>
      </c>
      <c r="B67" s="97" t="s">
        <v>113</v>
      </c>
      <c r="C67" s="51"/>
      <c r="D67" s="182"/>
      <c r="E67" s="80"/>
      <c r="F67" s="183"/>
      <c r="G67" s="80"/>
      <c r="H67" s="80"/>
      <c r="I67" s="184"/>
      <c r="J67" s="100">
        <v>8711002</v>
      </c>
      <c r="K67" s="36"/>
      <c r="L67" s="36">
        <v>95000</v>
      </c>
      <c r="M67" s="185"/>
      <c r="N67" s="184"/>
      <c r="O67" s="184"/>
      <c r="P67" s="184"/>
      <c r="Q67" s="186"/>
      <c r="R67" s="187"/>
      <c r="S67" s="79"/>
      <c r="T67" s="80"/>
    </row>
    <row r="68" spans="1:20" s="81" customFormat="1" ht="18.75" customHeight="1" x14ac:dyDescent="0.3">
      <c r="A68" s="181" t="s">
        <v>106</v>
      </c>
      <c r="B68" s="97" t="s">
        <v>114</v>
      </c>
      <c r="C68" s="51"/>
      <c r="D68" s="182"/>
      <c r="E68" s="80"/>
      <c r="F68" s="183"/>
      <c r="G68" s="80"/>
      <c r="H68" s="80"/>
      <c r="I68" s="184"/>
      <c r="J68" s="100">
        <v>8724001</v>
      </c>
      <c r="K68" s="36"/>
      <c r="L68" s="36">
        <f>350000+480000</f>
        <v>830000</v>
      </c>
      <c r="M68" s="185"/>
      <c r="N68" s="184"/>
      <c r="O68" s="184"/>
      <c r="P68" s="184"/>
      <c r="Q68" s="186"/>
      <c r="R68" s="187"/>
      <c r="S68" s="79"/>
      <c r="T68" s="80"/>
    </row>
    <row r="69" spans="1:20" s="81" customFormat="1" ht="18.75" customHeight="1" x14ac:dyDescent="0.3">
      <c r="A69" s="181" t="s">
        <v>106</v>
      </c>
      <c r="B69" s="97" t="s">
        <v>115</v>
      </c>
      <c r="C69" s="51"/>
      <c r="D69" s="182"/>
      <c r="E69" s="80"/>
      <c r="F69" s="183"/>
      <c r="G69" s="80"/>
      <c r="H69" s="80"/>
      <c r="I69" s="184"/>
      <c r="J69" s="100">
        <v>85290</v>
      </c>
      <c r="K69" s="36"/>
      <c r="L69" s="36">
        <v>30000</v>
      </c>
      <c r="M69" s="185"/>
      <c r="N69" s="184"/>
      <c r="O69" s="184"/>
      <c r="P69" s="184"/>
      <c r="Q69" s="186"/>
      <c r="R69" s="187"/>
      <c r="S69" s="79"/>
      <c r="T69" s="80"/>
    </row>
    <row r="70" spans="1:20" s="81" customFormat="1" ht="18.75" customHeight="1" x14ac:dyDescent="0.3">
      <c r="A70" s="181" t="s">
        <v>106</v>
      </c>
      <c r="B70" s="97" t="s">
        <v>116</v>
      </c>
      <c r="C70" s="51"/>
      <c r="D70" s="182"/>
      <c r="E70" s="80"/>
      <c r="F70" s="183"/>
      <c r="G70" s="80"/>
      <c r="H70" s="80"/>
      <c r="I70" s="184"/>
      <c r="J70" s="100">
        <v>8714102</v>
      </c>
      <c r="K70" s="36"/>
      <c r="L70" s="36">
        <f>50000+85000</f>
        <v>135000</v>
      </c>
      <c r="M70" s="185"/>
      <c r="N70" s="184"/>
      <c r="O70" s="184"/>
      <c r="P70" s="184"/>
      <c r="Q70" s="186"/>
      <c r="R70" s="187"/>
      <c r="S70" s="79"/>
      <c r="T70" s="80"/>
    </row>
    <row r="71" spans="1:20" s="81" customFormat="1" ht="18.75" customHeight="1" x14ac:dyDescent="0.3">
      <c r="A71" s="181" t="s">
        <v>106</v>
      </c>
      <c r="B71" s="97" t="s">
        <v>117</v>
      </c>
      <c r="C71" s="51"/>
      <c r="D71" s="182"/>
      <c r="E71" s="80"/>
      <c r="F71" s="183"/>
      <c r="G71" s="80"/>
      <c r="H71" s="80"/>
      <c r="I71" s="184"/>
      <c r="J71" s="100">
        <v>8715205</v>
      </c>
      <c r="K71" s="36"/>
      <c r="L71" s="36">
        <f>36000</f>
        <v>36000</v>
      </c>
      <c r="M71" s="185"/>
      <c r="N71" s="184"/>
      <c r="O71" s="184"/>
      <c r="P71" s="184"/>
      <c r="Q71" s="186"/>
      <c r="R71" s="187"/>
      <c r="S71" s="79"/>
      <c r="T71" s="80"/>
    </row>
    <row r="72" spans="1:20" s="81" customFormat="1" ht="16.5" customHeight="1" x14ac:dyDescent="0.3">
      <c r="A72" s="181" t="s">
        <v>106</v>
      </c>
      <c r="B72" s="97" t="s">
        <v>118</v>
      </c>
      <c r="C72" s="51"/>
      <c r="D72" s="182"/>
      <c r="E72" s="80"/>
      <c r="F72" s="183"/>
      <c r="G72" s="80"/>
      <c r="H72" s="80"/>
      <c r="I72" s="184"/>
      <c r="J72" s="100">
        <v>84210</v>
      </c>
      <c r="K72" s="36"/>
      <c r="L72" s="36">
        <f>203728</f>
        <v>203728</v>
      </c>
      <c r="M72" s="185"/>
      <c r="N72" s="184"/>
      <c r="O72" s="184"/>
      <c r="P72" s="184"/>
      <c r="Q72" s="186"/>
      <c r="R72" s="187"/>
      <c r="S72" s="79"/>
      <c r="T72" s="80"/>
    </row>
    <row r="73" spans="1:20" s="81" customFormat="1" ht="16.5" customHeight="1" thickBot="1" x14ac:dyDescent="0.35">
      <c r="A73" s="55" t="s">
        <v>106</v>
      </c>
      <c r="B73" s="124" t="s">
        <v>119</v>
      </c>
      <c r="C73" s="188"/>
      <c r="D73" s="189"/>
      <c r="E73" s="190"/>
      <c r="F73" s="191"/>
      <c r="G73" s="190"/>
      <c r="H73" s="190"/>
      <c r="I73" s="192"/>
      <c r="J73" s="62">
        <v>84120</v>
      </c>
      <c r="K73" s="63"/>
      <c r="L73" s="63">
        <v>152249</v>
      </c>
      <c r="M73" s="193"/>
      <c r="N73" s="192"/>
      <c r="O73" s="192"/>
      <c r="P73" s="192"/>
      <c r="Q73" s="194"/>
      <c r="R73" s="195"/>
      <c r="S73" s="79"/>
      <c r="T73" s="80"/>
    </row>
    <row r="74" spans="1:20" s="81" customFormat="1" ht="17.25" thickBot="1" x14ac:dyDescent="0.35">
      <c r="A74" s="158" t="s">
        <v>120</v>
      </c>
      <c r="B74" s="196" t="s">
        <v>121</v>
      </c>
      <c r="C74" s="197" t="s">
        <v>25</v>
      </c>
      <c r="D74" s="198">
        <v>40000000</v>
      </c>
      <c r="E74" s="199"/>
      <c r="F74" s="200"/>
      <c r="G74" s="199"/>
      <c r="H74" s="201"/>
      <c r="I74" s="202">
        <f t="shared" si="2"/>
        <v>40000000</v>
      </c>
      <c r="J74" s="203"/>
      <c r="K74" s="204"/>
      <c r="L74" s="205">
        <v>0</v>
      </c>
      <c r="M74" s="206">
        <f t="shared" si="3"/>
        <v>0</v>
      </c>
      <c r="N74" s="207">
        <f t="shared" si="4"/>
        <v>0</v>
      </c>
      <c r="O74" s="78">
        <f t="shared" ref="O74:O139" si="7">K74+L74</f>
        <v>0</v>
      </c>
      <c r="P74" s="208">
        <f t="shared" si="5"/>
        <v>40000000</v>
      </c>
      <c r="Q74" s="209">
        <f t="shared" si="6"/>
        <v>1</v>
      </c>
      <c r="R74" s="207">
        <f t="shared" ref="R74:R139" si="8">O74</f>
        <v>0</v>
      </c>
      <c r="S74" s="79"/>
      <c r="T74" s="80"/>
    </row>
    <row r="75" spans="1:20" s="81" customFormat="1" ht="17.25" thickBot="1" x14ac:dyDescent="0.35">
      <c r="A75" s="210" t="s">
        <v>122</v>
      </c>
      <c r="B75" s="211" t="s">
        <v>123</v>
      </c>
      <c r="C75" s="212" t="s">
        <v>25</v>
      </c>
      <c r="D75" s="161">
        <v>55000000</v>
      </c>
      <c r="E75" s="71"/>
      <c r="F75" s="72">
        <f>SUM(F76:F78)</f>
        <v>31763215</v>
      </c>
      <c r="G75" s="71"/>
      <c r="H75" s="71"/>
      <c r="I75" s="141">
        <f t="shared" si="2"/>
        <v>86763215</v>
      </c>
      <c r="J75" s="74"/>
      <c r="K75" s="143">
        <v>37564974</v>
      </c>
      <c r="L75" s="143">
        <f>SUM(L76:L78)</f>
        <v>14010496</v>
      </c>
      <c r="M75" s="144">
        <f t="shared" si="3"/>
        <v>0.59443936004446118</v>
      </c>
      <c r="N75" s="141">
        <f>K75+L75</f>
        <v>51575470</v>
      </c>
      <c r="O75" s="141">
        <f t="shared" si="7"/>
        <v>51575470</v>
      </c>
      <c r="P75" s="141">
        <f t="shared" si="5"/>
        <v>35187745</v>
      </c>
      <c r="Q75" s="145">
        <f t="shared" si="6"/>
        <v>0.40556063995553876</v>
      </c>
      <c r="R75" s="146">
        <f t="shared" si="8"/>
        <v>51575470</v>
      </c>
      <c r="S75" s="79"/>
      <c r="T75" s="80"/>
    </row>
    <row r="76" spans="1:20" s="81" customFormat="1" x14ac:dyDescent="0.3">
      <c r="A76" s="213" t="s">
        <v>124</v>
      </c>
      <c r="B76" s="214" t="s">
        <v>125</v>
      </c>
      <c r="C76" s="215">
        <v>45</v>
      </c>
      <c r="D76" s="216"/>
      <c r="E76" s="217"/>
      <c r="F76" s="87">
        <v>31763215</v>
      </c>
      <c r="G76" s="217"/>
      <c r="H76" s="217"/>
      <c r="I76" s="218"/>
      <c r="J76" s="219"/>
      <c r="K76" s="220"/>
      <c r="L76" s="220">
        <v>0</v>
      </c>
      <c r="M76" s="178"/>
      <c r="N76" s="218"/>
      <c r="O76" s="218"/>
      <c r="P76" s="218"/>
      <c r="Q76" s="221"/>
      <c r="R76" s="222"/>
      <c r="S76" s="79"/>
      <c r="T76" s="80"/>
    </row>
    <row r="77" spans="1:20" s="81" customFormat="1" x14ac:dyDescent="0.3">
      <c r="A77" s="223" t="s">
        <v>122</v>
      </c>
      <c r="B77" s="224" t="s">
        <v>123</v>
      </c>
      <c r="C77" s="225"/>
      <c r="D77" s="226"/>
      <c r="E77" s="190"/>
      <c r="F77" s="191"/>
      <c r="G77" s="190"/>
      <c r="H77" s="190"/>
      <c r="I77" s="192"/>
      <c r="J77" s="62">
        <v>64112</v>
      </c>
      <c r="K77" s="63"/>
      <c r="L77" s="63">
        <v>12710496</v>
      </c>
      <c r="M77" s="185"/>
      <c r="N77" s="192"/>
      <c r="O77" s="192"/>
      <c r="P77" s="192"/>
      <c r="Q77" s="227"/>
      <c r="R77" s="228"/>
      <c r="S77" s="79"/>
      <c r="T77" s="80"/>
    </row>
    <row r="78" spans="1:20" s="81" customFormat="1" ht="17.25" thickBot="1" x14ac:dyDescent="0.35">
      <c r="A78" s="229" t="s">
        <v>122</v>
      </c>
      <c r="B78" s="224" t="s">
        <v>126</v>
      </c>
      <c r="C78" s="225"/>
      <c r="D78" s="226"/>
      <c r="E78" s="190"/>
      <c r="F78" s="191"/>
      <c r="G78" s="190"/>
      <c r="H78" s="190"/>
      <c r="I78" s="192"/>
      <c r="J78" s="62">
        <v>64220</v>
      </c>
      <c r="K78" s="63"/>
      <c r="L78" s="63">
        <v>1300000</v>
      </c>
      <c r="M78" s="193"/>
      <c r="N78" s="192"/>
      <c r="O78" s="192"/>
      <c r="P78" s="192"/>
      <c r="Q78" s="227"/>
      <c r="R78" s="230"/>
      <c r="S78" s="79"/>
      <c r="T78" s="80"/>
    </row>
    <row r="79" spans="1:20" s="81" customFormat="1" ht="17.25" thickBot="1" x14ac:dyDescent="0.35">
      <c r="A79" s="67" t="s">
        <v>127</v>
      </c>
      <c r="B79" s="68" t="s">
        <v>128</v>
      </c>
      <c r="C79" s="69" t="s">
        <v>25</v>
      </c>
      <c r="D79" s="130">
        <v>2000000</v>
      </c>
      <c r="E79" s="71"/>
      <c r="F79" s="72"/>
      <c r="G79" s="71"/>
      <c r="H79" s="71"/>
      <c r="I79" s="73">
        <f>D79-E79+F79+G79-H79</f>
        <v>2000000</v>
      </c>
      <c r="J79" s="71"/>
      <c r="K79" s="75"/>
      <c r="L79" s="75"/>
      <c r="M79" s="76">
        <f>N79/I79</f>
        <v>0</v>
      </c>
      <c r="N79" s="73">
        <f>K79+L79</f>
        <v>0</v>
      </c>
      <c r="O79" s="73">
        <f>K79+L79</f>
        <v>0</v>
      </c>
      <c r="P79" s="73">
        <f>I79-N79</f>
        <v>2000000</v>
      </c>
      <c r="Q79" s="231">
        <f>P79/I79</f>
        <v>1</v>
      </c>
      <c r="R79" s="207">
        <f>O79</f>
        <v>0</v>
      </c>
      <c r="S79" s="79"/>
      <c r="T79" s="80"/>
    </row>
    <row r="80" spans="1:20" s="81" customFormat="1" ht="17.25" thickBot="1" x14ac:dyDescent="0.35">
      <c r="A80" s="67" t="s">
        <v>129</v>
      </c>
      <c r="B80" s="68" t="s">
        <v>130</v>
      </c>
      <c r="C80" s="69" t="s">
        <v>29</v>
      </c>
      <c r="D80" s="130"/>
      <c r="E80" s="71"/>
      <c r="F80" s="72">
        <v>20000000</v>
      </c>
      <c r="G80" s="71"/>
      <c r="H80" s="71"/>
      <c r="I80" s="73">
        <f>D80-E80+F80+G80-H80</f>
        <v>20000000</v>
      </c>
      <c r="J80" s="71"/>
      <c r="K80" s="75">
        <v>0</v>
      </c>
      <c r="L80" s="75"/>
      <c r="M80" s="76">
        <f>N80/I80</f>
        <v>0</v>
      </c>
      <c r="N80" s="73">
        <f>K80+L80</f>
        <v>0</v>
      </c>
      <c r="O80" s="73">
        <f>K80+L80</f>
        <v>0</v>
      </c>
      <c r="P80" s="73">
        <f>I80-N80</f>
        <v>20000000</v>
      </c>
      <c r="Q80" s="231">
        <f>P80/I80</f>
        <v>1</v>
      </c>
      <c r="R80" s="207">
        <f>O80</f>
        <v>0</v>
      </c>
      <c r="S80" s="79"/>
      <c r="T80" s="80"/>
    </row>
    <row r="81" spans="1:20" s="81" customFormat="1" ht="17.25" thickBot="1" x14ac:dyDescent="0.35">
      <c r="A81" s="232"/>
      <c r="B81" s="233"/>
      <c r="C81" s="234"/>
      <c r="D81" s="235"/>
      <c r="E81" s="236"/>
      <c r="F81" s="237"/>
      <c r="G81" s="236"/>
      <c r="H81" s="236"/>
      <c r="I81" s="238"/>
      <c r="J81" s="239"/>
      <c r="K81" s="240"/>
      <c r="L81" s="240"/>
      <c r="M81" s="241"/>
      <c r="N81" s="238"/>
      <c r="O81" s="238"/>
      <c r="P81" s="238"/>
      <c r="Q81" s="242"/>
      <c r="R81" s="207"/>
      <c r="S81" s="79"/>
      <c r="T81" s="80"/>
    </row>
    <row r="82" spans="1:20" s="81" customFormat="1" x14ac:dyDescent="0.3">
      <c r="S82" s="80"/>
      <c r="T82" s="80"/>
    </row>
    <row r="83" spans="1:20" s="243" customFormat="1" x14ac:dyDescent="0.3">
      <c r="D83" s="244">
        <f>SUM(D7:D81)</f>
        <v>1352132207.3333335</v>
      </c>
      <c r="E83" s="244">
        <f>SUM(E7:E81)</f>
        <v>0</v>
      </c>
      <c r="F83" s="244">
        <f>F80+F75+F60+F59+F55+F50+F42+F28+F27+F26+F25+F24+F23+F22+F21+F20+F19+F18+F17+F16+F15+F14+F13+F12+F11+F10+F9+F8+F7</f>
        <v>212763215</v>
      </c>
      <c r="G83" s="244">
        <f>G80+G75+G60+G59+G55+G50+G42+G28+G27+G26+G25+G24+G23+G22+G21+G20+G19+G18+G17+G16+G15+G14+G13+G12+G11+G10+G9+G8+G7</f>
        <v>16500000</v>
      </c>
      <c r="H83" s="244">
        <f>H80+H75+H60+H59+H55+H50+H42+H28+H27+H26+H25+H24+H23+H22+H21+H20+H19+H18+H17+H16+H15+H14+H13+H12+H11+H10+H9+H8+H7</f>
        <v>16500000</v>
      </c>
      <c r="I83" s="245">
        <f>SUM(I7:I81)</f>
        <v>1564895422.3333333</v>
      </c>
      <c r="K83" s="246">
        <f>K7+K9+K10+K11+K12+K14+K15+K16+K17+K19+K20+K21+K22+K23+K24+K25+K27+K28+K42+K50+K55+K59+K60+K75+K79+K80</f>
        <v>629896971</v>
      </c>
      <c r="L83" s="247">
        <f>L7+L9+L10+L11+L12+L14+L15+L16+L17+L19+L20+L21+L22+L23+L24+L25+L27+L28+L42+L50+L55+L60+L75+L59+L79</f>
        <v>161435853</v>
      </c>
      <c r="M83" s="248">
        <f>N83/I83</f>
        <v>0.50567776779619256</v>
      </c>
      <c r="N83" s="246">
        <f>N75+N74+N60+N55+N50+N42+N28+N7+N9+N10+N11+N12+N14+N15+N16+N17+N19+N20+N21+N22+N23+N24+N25+N27+N59</f>
        <v>791332824</v>
      </c>
      <c r="O83" s="246">
        <f>O75+O74+O60+O55+O50+O42+O28+O7+O9+O10+O11+O12+O14+O15+O16+O17+O19+O20+O21+O22+O23+O24+O25+O27+O59</f>
        <v>791332824</v>
      </c>
      <c r="P83" s="246">
        <f>P75+P74+P60+P55+P50+P42+P28+P7+P9+P10+P11+P12+P14+P15+P16+P17+P19+P20+P21+P22+P23+P24+P25+P27+P59+P79+P80</f>
        <v>612562598.33333337</v>
      </c>
      <c r="Q83" s="249">
        <f t="shared" si="6"/>
        <v>0.39143995796215797</v>
      </c>
      <c r="R83" s="246">
        <f>R75+R60+R55+R50+R42+R28+R27+R25+R24+R23+R22+R21+R20+R19+R17+R16+R15+R14+R12+R11+R10+R9+R7</f>
        <v>787555423</v>
      </c>
    </row>
    <row r="84" spans="1:20" ht="17.25" customHeight="1" x14ac:dyDescent="0.3">
      <c r="L84" s="2"/>
    </row>
    <row r="85" spans="1:20" ht="17.25" customHeight="1" x14ac:dyDescent="0.3">
      <c r="L85" s="2"/>
    </row>
    <row r="86" spans="1:20" ht="17.25" customHeight="1" x14ac:dyDescent="0.3">
      <c r="L86" s="2"/>
    </row>
    <row r="87" spans="1:20" x14ac:dyDescent="0.3">
      <c r="L87" s="27"/>
      <c r="N87" s="27"/>
    </row>
    <row r="88" spans="1:20" x14ac:dyDescent="0.3">
      <c r="L88" s="250"/>
      <c r="N88" s="250"/>
    </row>
    <row r="89" spans="1:20" x14ac:dyDescent="0.3">
      <c r="L89" s="250"/>
      <c r="N89" s="27"/>
    </row>
    <row r="90" spans="1:20" x14ac:dyDescent="0.3">
      <c r="A90" s="243" t="s">
        <v>131</v>
      </c>
      <c r="C90" s="251" t="s">
        <v>132</v>
      </c>
      <c r="D90" s="251"/>
      <c r="E90" s="251"/>
      <c r="L90" s="2"/>
      <c r="N90" s="250"/>
    </row>
    <row r="91" spans="1:20" x14ac:dyDescent="0.3">
      <c r="A91" s="2" t="s">
        <v>133</v>
      </c>
      <c r="C91" s="2" t="s">
        <v>134</v>
      </c>
      <c r="L91" s="2"/>
    </row>
    <row r="92" spans="1:20" x14ac:dyDescent="0.3">
      <c r="L92" s="2"/>
    </row>
  </sheetData>
  <mergeCells count="3">
    <mergeCell ref="A2:T2"/>
    <mergeCell ref="A3:T3"/>
    <mergeCell ref="C90:E90"/>
  </mergeCells>
  <pageMargins left="0.70866141732283472" right="0.70866141732283472" top="0.55118110236220474" bottom="0.74803149606299213" header="0.31496062992125984" footer="0.31496062992125984"/>
  <pageSetup paperSize="14" scale="46"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AGOSTO 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 FISCAL</dc:creator>
  <cp:lastModifiedBy>CONTROL FISCAL</cp:lastModifiedBy>
  <dcterms:created xsi:type="dcterms:W3CDTF">2022-09-16T21:57:18Z</dcterms:created>
  <dcterms:modified xsi:type="dcterms:W3CDTF">2022-09-16T22:18:51Z</dcterms:modified>
</cp:coreProperties>
</file>